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pallas70.sharepoint.com/sites/Iroda/Megosztott dokumentumok/General/kozos_mappa/Endre/Excel/"/>
    </mc:Choice>
  </mc:AlternateContent>
  <xr:revisionPtr revIDLastSave="705" documentId="6_{C876FECC-6217-41C0-A44E-1A7D3D2EC62B}" xr6:coauthVersionLast="47" xr6:coauthVersionMax="47" xr10:uidLastSave="{43750368-CC14-411C-8874-4F6F0F032310}"/>
  <bookViews>
    <workbookView xWindow="-120" yWindow="-120" windowWidth="29040" windowHeight="15720" activeTab="1" xr2:uid="{20DA9EB5-8EA8-4626-96F0-55247E6C6145}"/>
  </bookViews>
  <sheets>
    <sheet name="vizsgazók" sheetId="1" r:id="rId1"/>
    <sheet name="osztályozó" sheetId="2" r:id="rId2"/>
    <sheet name="osztályozó_oszlopkivalasztas" sheetId="36" r:id="rId3"/>
  </sheets>
  <definedNames>
    <definedName name="_xlnm._FilterDatabase" localSheetId="1" hidden="1">osztályozó!$A$1:$AS$33</definedName>
    <definedName name="_xlnm._FilterDatabase" localSheetId="2" hidden="1">osztályozó_oszlopkivalasztas!$A$1:$AS$33</definedName>
    <definedName name="Anyja_neve">vizsgazók!$F$2:$F$32</definedName>
    <definedName name="datumok">#REF!</definedName>
    <definedName name="email">vizsgazók!$I$2:$I$32</definedName>
    <definedName name="értékelő">#REF!</definedName>
    <definedName name="felügyelő">#REF!</definedName>
    <definedName name="iD">vizsgazók!$A$2:$A$32</definedName>
    <definedName name="jegyzo">#REF!</definedName>
    <definedName name="Korábbi_vizsga_időpontja">vizsgazók!$O$2:$O$32</definedName>
    <definedName name="Korábbi_vizsga_törzslapszáma">vizsgazók!$N$2:$N$32</definedName>
    <definedName name="lebonyi_date">#REF!</definedName>
    <definedName name="mérő">#REF!</definedName>
    <definedName name="Név">vizsgazók!$B$2:$B$32</definedName>
    <definedName name="OKJ_es_szakma">#REF!</definedName>
    <definedName name="osztalyzat">#REF!</definedName>
    <definedName name="PKÖE">vizsgazók!$L$2:$L$32</definedName>
    <definedName name="pköe_date">#REF!</definedName>
    <definedName name="pköe_date_email">#REF!</definedName>
    <definedName name="pköe_kezd_ido">#REF!</definedName>
    <definedName name="pköe_megtekint">#REF!</definedName>
    <definedName name="pköe_terem">#REF!</definedName>
    <definedName name="pottetel_nev">#REF!</definedName>
    <definedName name="szakma">#REF!</definedName>
    <definedName name="szakmaszint">#REF!</definedName>
    <definedName name="szamvitel">vizsgazók!$K$2:$K$32</definedName>
    <definedName name="szamvitel_date">#REF!</definedName>
    <definedName name="szamvitel_date_email">#REF!</definedName>
    <definedName name="szamvitel_kezd_ido">#REF!</definedName>
    <definedName name="szamvitel_megtekint">#REF!</definedName>
    <definedName name="szamvitel_terem">#REF!</definedName>
    <definedName name="szo_date">#REF!</definedName>
    <definedName name="szo_date_email">#REF!</definedName>
    <definedName name="szo_kezd_ido">#REF!</definedName>
    <definedName name="Szóbeli">vizsgazók!$M$2:$M$32</definedName>
    <definedName name="szobeli_terem">#REF!</definedName>
    <definedName name="Születési_hely">vizsgazók!$D$2:$D$32</definedName>
    <definedName name="Születési_idő">vizsgazók!$E$2:$E$32</definedName>
    <definedName name="Születési_neve">vizsgazók!$C$2:$C$32</definedName>
    <definedName name="technikai">#REF!</definedName>
    <definedName name="Telefon">vizsgazók!$J$2:$J$32</definedName>
    <definedName name="teremfelügyelő">#REF!</definedName>
    <definedName name="Törzslapszám">vizsgazók!$N$2:$N$32</definedName>
    <definedName name="VB">#REF!</definedName>
    <definedName name="vizsgadij">{"0";"egy";"kettő";"három";"négy";"öt";"hat";"hét";"nyolc";"kilenc"}</definedName>
    <definedName name="vizsgadij2">{"","tizen","huszon","harminc","negyven","ötven","hatvan","hetven","nyolcvan","kilencven"}</definedName>
    <definedName name="vizsgatev_1">#REF!</definedName>
    <definedName name="vizsgatev_2">#REF!</definedName>
    <definedName name="vizsgatev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1" i="36" l="1"/>
  <c r="AA30" i="36"/>
  <c r="AA29" i="36"/>
  <c r="AA28" i="36"/>
  <c r="AA27" i="36"/>
  <c r="AA26" i="36"/>
  <c r="AA25" i="36"/>
  <c r="AA24" i="36"/>
  <c r="AA23" i="36"/>
  <c r="AA22" i="36"/>
  <c r="AA21" i="36"/>
  <c r="AA20" i="36"/>
  <c r="AA19" i="36"/>
  <c r="AA18" i="36"/>
  <c r="AA17" i="36"/>
  <c r="AA16" i="36"/>
  <c r="AA15" i="36"/>
  <c r="AA14" i="36"/>
  <c r="AA13" i="36"/>
  <c r="AA12" i="36"/>
  <c r="AA11" i="36"/>
  <c r="AA10" i="36"/>
  <c r="AA9" i="36"/>
  <c r="AA8" i="36"/>
  <c r="AA7" i="36"/>
  <c r="AA6" i="36"/>
  <c r="AA5" i="36"/>
  <c r="AA4" i="36"/>
  <c r="AA3" i="36"/>
  <c r="AA2" i="36"/>
  <c r="B2" i="2" a="1"/>
  <c r="B2" i="2" s="1"/>
  <c r="C2" i="2" a="1"/>
  <c r="C2" i="2" s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Q10" i="1" l="1"/>
  <c r="Q9" i="1"/>
  <c r="Q28" i="1"/>
  <c r="Q3" i="1"/>
  <c r="Q27" i="1"/>
  <c r="Q24" i="1"/>
  <c r="Q8" i="1"/>
  <c r="Q16" i="1"/>
  <c r="R10" i="1"/>
  <c r="R9" i="1"/>
  <c r="R28" i="1"/>
  <c r="R3" i="1"/>
  <c r="R27" i="1"/>
  <c r="R24" i="1"/>
  <c r="R8" i="1"/>
  <c r="R16" i="1"/>
  <c r="S10" i="1"/>
  <c r="S9" i="1"/>
  <c r="S28" i="1"/>
  <c r="S3" i="1"/>
  <c r="S27" i="1"/>
  <c r="S24" i="1"/>
  <c r="S8" i="1"/>
  <c r="S16" i="1"/>
  <c r="T10" i="1"/>
  <c r="T9" i="1"/>
  <c r="T28" i="1"/>
  <c r="T3" i="1"/>
  <c r="T27" i="1"/>
  <c r="T24" i="1"/>
  <c r="T8" i="1"/>
  <c r="T16" i="1"/>
  <c r="V10" i="1"/>
  <c r="V9" i="1"/>
  <c r="V28" i="1"/>
  <c r="V3" i="1"/>
  <c r="V27" i="1"/>
  <c r="V24" i="1"/>
  <c r="V8" i="1"/>
  <c r="V16" i="1"/>
  <c r="W10" i="1"/>
  <c r="W9" i="1"/>
  <c r="W28" i="1"/>
  <c r="W3" i="1"/>
  <c r="W27" i="1"/>
  <c r="W24" i="1"/>
  <c r="W8" i="1"/>
  <c r="W16" i="1"/>
  <c r="X10" i="1"/>
  <c r="X9" i="1"/>
  <c r="X28" i="1"/>
  <c r="X3" i="1"/>
  <c r="X27" i="1"/>
  <c r="X24" i="1"/>
  <c r="X8" i="1"/>
  <c r="X16" i="1"/>
  <c r="Y10" i="1"/>
  <c r="Y9" i="1"/>
  <c r="Y28" i="1"/>
  <c r="Y3" i="1"/>
  <c r="Y27" i="1"/>
  <c r="Y24" i="1"/>
  <c r="Y8" i="1"/>
  <c r="Y16" i="1"/>
  <c r="Z10" i="1"/>
  <c r="Z9" i="1"/>
  <c r="Z28" i="1"/>
  <c r="Z3" i="1"/>
  <c r="Z27" i="1"/>
  <c r="Z24" i="1"/>
  <c r="Z8" i="1"/>
  <c r="Z16" i="1"/>
  <c r="AA10" i="1"/>
  <c r="AA9" i="1"/>
  <c r="AA28" i="1"/>
  <c r="AA3" i="1"/>
  <c r="AA27" i="1"/>
  <c r="AA24" i="1"/>
  <c r="AA8" i="1"/>
  <c r="AA16" i="1"/>
  <c r="AB10" i="1"/>
  <c r="AB9" i="1"/>
  <c r="AB28" i="1"/>
  <c r="AF28" i="1" s="1"/>
  <c r="AB3" i="1"/>
  <c r="AB27" i="1"/>
  <c r="AB24" i="1"/>
  <c r="AB8" i="1"/>
  <c r="AB16" i="1"/>
  <c r="AC10" i="1"/>
  <c r="AC9" i="1"/>
  <c r="AC28" i="1"/>
  <c r="AC3" i="1"/>
  <c r="AC27" i="1"/>
  <c r="AC24" i="1"/>
  <c r="AC8" i="1"/>
  <c r="AC16" i="1"/>
  <c r="AD10" i="1"/>
  <c r="AD9" i="1"/>
  <c r="AF9" i="1" s="1"/>
  <c r="AD28" i="1"/>
  <c r="AD3" i="1"/>
  <c r="AF3" i="1" s="1"/>
  <c r="AD27" i="1"/>
  <c r="AF27" i="1" s="1"/>
  <c r="AD24" i="1"/>
  <c r="AD8" i="1"/>
  <c r="AD16" i="1"/>
  <c r="AE10" i="1"/>
  <c r="AE9" i="1"/>
  <c r="AE28" i="1"/>
  <c r="AE3" i="1"/>
  <c r="AE27" i="1"/>
  <c r="AE24" i="1"/>
  <c r="AE8" i="1"/>
  <c r="AE16" i="1"/>
  <c r="AF10" i="1"/>
  <c r="Q19" i="1"/>
  <c r="Q14" i="1"/>
  <c r="Q29" i="1"/>
  <c r="Q32" i="1"/>
  <c r="Q12" i="1"/>
  <c r="Q20" i="1"/>
  <c r="Q18" i="1"/>
  <c r="Q17" i="1"/>
  <c r="Q6" i="1"/>
  <c r="Q13" i="1"/>
  <c r="Q31" i="1"/>
  <c r="Q23" i="1"/>
  <c r="Q2" i="1"/>
  <c r="Q25" i="1"/>
  <c r="Q5" i="1"/>
  <c r="Q4" i="1"/>
  <c r="Q30" i="1"/>
  <c r="Q7" i="1"/>
  <c r="Q21" i="1"/>
  <c r="Q15" i="1"/>
  <c r="Q11" i="1"/>
  <c r="Q26" i="1"/>
  <c r="Q22" i="1"/>
  <c r="AF24" i="1" l="1"/>
  <c r="AF16" i="1"/>
  <c r="AF8" i="1"/>
  <c r="P24" i="1"/>
  <c r="P10" i="1"/>
  <c r="P16" i="1"/>
  <c r="P28" i="1"/>
  <c r="P8" i="1"/>
  <c r="P9" i="1"/>
  <c r="P27" i="1"/>
  <c r="P3" i="1"/>
  <c r="R19" i="1"/>
  <c r="R14" i="1"/>
  <c r="R29" i="1"/>
  <c r="R32" i="1"/>
  <c r="R12" i="1"/>
  <c r="R20" i="1"/>
  <c r="R18" i="1"/>
  <c r="R17" i="1"/>
  <c r="R6" i="1"/>
  <c r="R13" i="1"/>
  <c r="R31" i="1"/>
  <c r="R23" i="1"/>
  <c r="R2" i="1"/>
  <c r="R25" i="1"/>
  <c r="R5" i="1"/>
  <c r="R4" i="1"/>
  <c r="R30" i="1"/>
  <c r="R7" i="1"/>
  <c r="R21" i="1"/>
  <c r="R15" i="1"/>
  <c r="R11" i="1"/>
  <c r="R26" i="1"/>
  <c r="R22" i="1"/>
  <c r="S32" i="1"/>
  <c r="T32" i="1"/>
  <c r="V32" i="1"/>
  <c r="W32" i="1"/>
  <c r="X32" i="1"/>
  <c r="Y32" i="1"/>
  <c r="Z32" i="1"/>
  <c r="AA32" i="1"/>
  <c r="AB32" i="1"/>
  <c r="AC32" i="1"/>
  <c r="AD32" i="1"/>
  <c r="AE32" i="1"/>
  <c r="S12" i="1"/>
  <c r="T12" i="1"/>
  <c r="V12" i="1"/>
  <c r="W12" i="1"/>
  <c r="X12" i="1"/>
  <c r="Y12" i="1"/>
  <c r="Z12" i="1"/>
  <c r="AA12" i="1"/>
  <c r="AB12" i="1"/>
  <c r="AC12" i="1"/>
  <c r="AD12" i="1"/>
  <c r="AE12" i="1"/>
  <c r="S20" i="1"/>
  <c r="T20" i="1"/>
  <c r="V20" i="1"/>
  <c r="W20" i="1"/>
  <c r="X20" i="1"/>
  <c r="Y20" i="1"/>
  <c r="Z20" i="1"/>
  <c r="AA20" i="1"/>
  <c r="AB20" i="1"/>
  <c r="AC20" i="1"/>
  <c r="AD20" i="1"/>
  <c r="AE20" i="1"/>
  <c r="S18" i="1"/>
  <c r="T18" i="1"/>
  <c r="V18" i="1"/>
  <c r="W18" i="1"/>
  <c r="X18" i="1"/>
  <c r="Y18" i="1"/>
  <c r="Z18" i="1"/>
  <c r="AA18" i="1"/>
  <c r="AB18" i="1"/>
  <c r="AC18" i="1"/>
  <c r="AD18" i="1"/>
  <c r="AE18" i="1"/>
  <c r="S17" i="1"/>
  <c r="T17" i="1"/>
  <c r="V17" i="1"/>
  <c r="W17" i="1"/>
  <c r="X17" i="1"/>
  <c r="Y17" i="1"/>
  <c r="Z17" i="1"/>
  <c r="AA17" i="1"/>
  <c r="AB17" i="1"/>
  <c r="AC17" i="1"/>
  <c r="AD17" i="1"/>
  <c r="AE17" i="1"/>
  <c r="S6" i="1"/>
  <c r="T6" i="1"/>
  <c r="V6" i="1"/>
  <c r="W6" i="1"/>
  <c r="X6" i="1"/>
  <c r="Y6" i="1"/>
  <c r="Z6" i="1"/>
  <c r="AA6" i="1"/>
  <c r="AB6" i="1"/>
  <c r="AC6" i="1"/>
  <c r="AD6" i="1"/>
  <c r="AE6" i="1"/>
  <c r="S13" i="1"/>
  <c r="T13" i="1"/>
  <c r="V13" i="1"/>
  <c r="W13" i="1"/>
  <c r="X13" i="1"/>
  <c r="Y13" i="1"/>
  <c r="Z13" i="1"/>
  <c r="AA13" i="1"/>
  <c r="AB13" i="1"/>
  <c r="AC13" i="1"/>
  <c r="AD13" i="1"/>
  <c r="AE13" i="1"/>
  <c r="S31" i="1"/>
  <c r="T31" i="1"/>
  <c r="V31" i="1"/>
  <c r="W31" i="1"/>
  <c r="X31" i="1"/>
  <c r="Y31" i="1"/>
  <c r="Z31" i="1"/>
  <c r="AA31" i="1"/>
  <c r="AB31" i="1"/>
  <c r="AC31" i="1"/>
  <c r="AD31" i="1"/>
  <c r="AE31" i="1"/>
  <c r="S23" i="1"/>
  <c r="T23" i="1"/>
  <c r="V23" i="1"/>
  <c r="W23" i="1"/>
  <c r="X23" i="1"/>
  <c r="Y23" i="1"/>
  <c r="Z23" i="1"/>
  <c r="AA23" i="1"/>
  <c r="AB23" i="1"/>
  <c r="AC23" i="1"/>
  <c r="AD23" i="1"/>
  <c r="AE23" i="1"/>
  <c r="S2" i="1"/>
  <c r="T2" i="1"/>
  <c r="V2" i="1"/>
  <c r="W2" i="1"/>
  <c r="X2" i="1"/>
  <c r="Y2" i="1"/>
  <c r="Z2" i="1"/>
  <c r="AA2" i="1"/>
  <c r="AB2" i="1"/>
  <c r="AC2" i="1"/>
  <c r="AD2" i="1"/>
  <c r="AE2" i="1"/>
  <c r="S25" i="1"/>
  <c r="T25" i="1"/>
  <c r="V25" i="1"/>
  <c r="W25" i="1"/>
  <c r="X25" i="1"/>
  <c r="Y25" i="1"/>
  <c r="Z25" i="1"/>
  <c r="AA25" i="1"/>
  <c r="AB25" i="1"/>
  <c r="AC25" i="1"/>
  <c r="AD25" i="1"/>
  <c r="AE25" i="1"/>
  <c r="S5" i="1"/>
  <c r="T5" i="1"/>
  <c r="V5" i="1"/>
  <c r="W5" i="1"/>
  <c r="X5" i="1"/>
  <c r="Y5" i="1"/>
  <c r="Z5" i="1"/>
  <c r="AA5" i="1"/>
  <c r="AB5" i="1"/>
  <c r="AC5" i="1"/>
  <c r="AD5" i="1"/>
  <c r="AE5" i="1"/>
  <c r="S4" i="1"/>
  <c r="T4" i="1"/>
  <c r="V4" i="1"/>
  <c r="W4" i="1"/>
  <c r="X4" i="1"/>
  <c r="Y4" i="1"/>
  <c r="Z4" i="1"/>
  <c r="AA4" i="1"/>
  <c r="AB4" i="1"/>
  <c r="AC4" i="1"/>
  <c r="AD4" i="1"/>
  <c r="AE4" i="1"/>
  <c r="S30" i="1"/>
  <c r="T30" i="1"/>
  <c r="V30" i="1"/>
  <c r="W30" i="1"/>
  <c r="X30" i="1"/>
  <c r="Y30" i="1"/>
  <c r="Z30" i="1"/>
  <c r="AA30" i="1"/>
  <c r="AB30" i="1"/>
  <c r="AC30" i="1"/>
  <c r="AD30" i="1"/>
  <c r="AE30" i="1"/>
  <c r="S7" i="1"/>
  <c r="T7" i="1"/>
  <c r="V7" i="1"/>
  <c r="W7" i="1"/>
  <c r="X7" i="1"/>
  <c r="Y7" i="1"/>
  <c r="Z7" i="1"/>
  <c r="AA7" i="1"/>
  <c r="AB7" i="1"/>
  <c r="AC7" i="1"/>
  <c r="AD7" i="1"/>
  <c r="AE7" i="1"/>
  <c r="S21" i="1"/>
  <c r="T21" i="1"/>
  <c r="V21" i="1"/>
  <c r="W21" i="1"/>
  <c r="X21" i="1"/>
  <c r="Y21" i="1"/>
  <c r="Z21" i="1"/>
  <c r="AA21" i="1"/>
  <c r="AB21" i="1"/>
  <c r="AC21" i="1"/>
  <c r="AD21" i="1"/>
  <c r="AE21" i="1"/>
  <c r="S15" i="1"/>
  <c r="T15" i="1"/>
  <c r="V15" i="1"/>
  <c r="W15" i="1"/>
  <c r="X15" i="1"/>
  <c r="Y15" i="1"/>
  <c r="Z15" i="1"/>
  <c r="AA15" i="1"/>
  <c r="AB15" i="1"/>
  <c r="AC15" i="1"/>
  <c r="AD15" i="1"/>
  <c r="AE15" i="1"/>
  <c r="S11" i="1"/>
  <c r="T11" i="1"/>
  <c r="V11" i="1"/>
  <c r="W11" i="1"/>
  <c r="X11" i="1"/>
  <c r="Y11" i="1"/>
  <c r="Z11" i="1"/>
  <c r="AA11" i="1"/>
  <c r="AB11" i="1"/>
  <c r="AC11" i="1"/>
  <c r="AD11" i="1"/>
  <c r="AE11" i="1"/>
  <c r="S26" i="1"/>
  <c r="T26" i="1"/>
  <c r="V26" i="1"/>
  <c r="W26" i="1"/>
  <c r="X26" i="1"/>
  <c r="Y26" i="1"/>
  <c r="Z26" i="1"/>
  <c r="AA26" i="1"/>
  <c r="AB26" i="1"/>
  <c r="AC26" i="1"/>
  <c r="AD26" i="1"/>
  <c r="AE26" i="1"/>
  <c r="S22" i="1"/>
  <c r="T22" i="1"/>
  <c r="V22" i="1"/>
  <c r="W22" i="1"/>
  <c r="X22" i="1"/>
  <c r="Y22" i="1"/>
  <c r="Z22" i="1"/>
  <c r="AA22" i="1"/>
  <c r="AB22" i="1"/>
  <c r="AC22" i="1"/>
  <c r="AD22" i="1"/>
  <c r="AE22" i="1"/>
  <c r="Z19" i="1"/>
  <c r="Z14" i="1"/>
  <c r="Z29" i="1"/>
  <c r="AA19" i="1"/>
  <c r="AA14" i="1"/>
  <c r="AA29" i="1"/>
  <c r="Y19" i="1"/>
  <c r="Y14" i="1"/>
  <c r="Y29" i="1"/>
  <c r="X19" i="1"/>
  <c r="X14" i="1"/>
  <c r="X29" i="1"/>
  <c r="W19" i="1"/>
  <c r="W14" i="1"/>
  <c r="W29" i="1"/>
  <c r="V19" i="1"/>
  <c r="V14" i="1"/>
  <c r="V29" i="1"/>
  <c r="P11" i="1" l="1"/>
  <c r="AF21" i="1"/>
  <c r="AF30" i="1"/>
  <c r="AF31" i="1"/>
  <c r="AF12" i="1"/>
  <c r="AF26" i="1"/>
  <c r="AF32" i="1"/>
  <c r="P12" i="1"/>
  <c r="P32" i="1"/>
  <c r="AF7" i="1"/>
  <c r="AF4" i="1"/>
  <c r="AF5" i="1"/>
  <c r="AF2" i="1"/>
  <c r="AF13" i="1"/>
  <c r="AF6" i="1"/>
  <c r="AF18" i="1"/>
  <c r="P2" i="1"/>
  <c r="P31" i="1"/>
  <c r="P30" i="1"/>
  <c r="P18" i="1"/>
  <c r="AF15" i="1"/>
  <c r="P22" i="1"/>
  <c r="AF22" i="1"/>
  <c r="AF11" i="1"/>
  <c r="P21" i="1"/>
  <c r="AF23" i="1"/>
  <c r="P13" i="1"/>
  <c r="AF20" i="1"/>
  <c r="AF25" i="1"/>
  <c r="AF17" i="1"/>
  <c r="P5" i="1"/>
  <c r="P6" i="1"/>
  <c r="P20" i="1"/>
  <c r="P7" i="1"/>
  <c r="P26" i="1"/>
  <c r="P4" i="1"/>
  <c r="P25" i="1"/>
  <c r="P17" i="1"/>
  <c r="P15" i="1"/>
  <c r="P23" i="1"/>
  <c r="AC19" i="1"/>
  <c r="AC14" i="1"/>
  <c r="AC29" i="1"/>
  <c r="AE19" i="1"/>
  <c r="AE14" i="1"/>
  <c r="AE29" i="1"/>
  <c r="AD19" i="1" l="1"/>
  <c r="AD14" i="1"/>
  <c r="AD29" i="1"/>
  <c r="AB19" i="1"/>
  <c r="AB14" i="1"/>
  <c r="AB29" i="1"/>
  <c r="T19" i="1"/>
  <c r="T14" i="1"/>
  <c r="T29" i="1"/>
  <c r="S19" i="1"/>
  <c r="S14" i="1"/>
  <c r="S29" i="1"/>
  <c r="X2" i="36" l="1" a="1"/>
  <c r="X2" i="36" s="1"/>
  <c r="Y2" i="36" a="1"/>
  <c r="Y2" i="36" s="1"/>
  <c r="X2" i="2" a="1"/>
  <c r="X2" i="2" s="1"/>
  <c r="Y2" i="2" a="1"/>
  <c r="Y2" i="2" s="1"/>
  <c r="AF19" i="1"/>
  <c r="AF29" i="1"/>
  <c r="AF14" i="1"/>
  <c r="P14" i="1"/>
  <c r="P19" i="1"/>
  <c r="P29" i="1"/>
  <c r="AO2" i="36" l="1" a="1"/>
  <c r="AO2" i="36" s="1"/>
  <c r="AO2" i="2" a="1"/>
  <c r="AO2" i="2" s="1"/>
  <c r="AG2" i="1" l="1" a="1"/>
  <c r="A10" i="1" l="1"/>
  <c r="A24" i="1"/>
  <c r="A8" i="1"/>
  <c r="A28" i="1"/>
  <c r="A3" i="1"/>
  <c r="A27" i="1"/>
  <c r="A32" i="1"/>
  <c r="A18" i="1"/>
  <c r="A21" i="1"/>
  <c r="A26" i="1"/>
  <c r="A13" i="1"/>
  <c r="A4" i="1"/>
  <c r="A20" i="1"/>
  <c r="A6" i="1"/>
  <c r="A23" i="1"/>
  <c r="A5" i="1"/>
  <c r="A7" i="1"/>
  <c r="A11" i="1"/>
  <c r="A22" i="1"/>
  <c r="A17" i="1"/>
  <c r="A31" i="1"/>
  <c r="A25" i="1"/>
  <c r="A30" i="1"/>
  <c r="A15" i="1"/>
  <c r="AG2" i="1"/>
  <c r="A2" i="2" s="1" a="1"/>
  <c r="A2" i="2" s="1"/>
  <c r="A14" i="1"/>
  <c r="A29" i="1"/>
  <c r="A2" i="1" l="1"/>
  <c r="A2" i="36" s="1" a="1"/>
  <c r="A2" i="36" s="1"/>
  <c r="AH2" i="2" a="1"/>
  <c r="AH2" i="2" s="1"/>
  <c r="A12" i="1"/>
  <c r="A16" i="1"/>
  <c r="A9" i="1"/>
  <c r="A19" i="1"/>
  <c r="AL2" i="36" l="1" a="1"/>
  <c r="AL2" i="36" s="1"/>
  <c r="AN2" i="36" a="1"/>
  <c r="AN2" i="36" s="1"/>
  <c r="AJ2" i="36" a="1"/>
  <c r="AJ2" i="36" s="1"/>
  <c r="AM2" i="36" a="1"/>
  <c r="AM2" i="36" s="1"/>
  <c r="T2" i="36" a="1"/>
  <c r="T2" i="36" s="1"/>
  <c r="AF2" i="36" a="1"/>
  <c r="AF2" i="36" s="1"/>
  <c r="AH2" i="36" a="1"/>
  <c r="AH2" i="36" s="1"/>
  <c r="AD2" i="36" a="1"/>
  <c r="AD2" i="36" s="1"/>
  <c r="AC2" i="36" a="1"/>
  <c r="AC2" i="36" s="1"/>
  <c r="AE2" i="36" a="1"/>
  <c r="AE2" i="36" s="1"/>
  <c r="M2" i="36" a="1"/>
  <c r="M2" i="36" s="1"/>
  <c r="R2" i="36" a="1"/>
  <c r="R2" i="36" s="1"/>
  <c r="AK2" i="36" a="1"/>
  <c r="AK2" i="36" s="1"/>
  <c r="E2" i="36" a="1"/>
  <c r="E2" i="36" s="1"/>
  <c r="S2" i="36" s="1" a="1"/>
  <c r="S2" i="36" s="1"/>
  <c r="D2" i="36" a="1"/>
  <c r="D2" i="36" s="1"/>
  <c r="Q2" i="36" s="1" a="1"/>
  <c r="Q2" i="36" s="1"/>
  <c r="W2" i="36" a="1"/>
  <c r="W2" i="36" s="1"/>
  <c r="AG2" i="36" a="1"/>
  <c r="AG2" i="36" s="1"/>
  <c r="AI2" i="36" a="1"/>
  <c r="AI2" i="36" s="1"/>
  <c r="E2" i="2" a="1"/>
  <c r="E2" i="2" s="1"/>
  <c r="D2" i="2" a="1"/>
  <c r="D2" i="2" s="1"/>
  <c r="R2" i="2" a="1"/>
  <c r="R2" i="2" s="1"/>
  <c r="T2" i="2" a="1"/>
  <c r="T2" i="2" s="1"/>
  <c r="M2" i="2" a="1"/>
  <c r="M2" i="2" s="1"/>
  <c r="AL2" i="2" a="1"/>
  <c r="AL2" i="2" s="1"/>
  <c r="AK2" i="2" a="1"/>
  <c r="AK2" i="2" s="1"/>
  <c r="AJ2" i="2" a="1"/>
  <c r="AJ2" i="2" s="1"/>
  <c r="AG2" i="2" a="1"/>
  <c r="AG2" i="2" s="1"/>
  <c r="AE2" i="2" a="1"/>
  <c r="AE2" i="2" s="1"/>
  <c r="AD2" i="2" a="1"/>
  <c r="AD2" i="2" s="1"/>
  <c r="AF2" i="2" a="1"/>
  <c r="AF2" i="2" s="1"/>
  <c r="AC2" i="2" a="1"/>
  <c r="AC2" i="2" s="1"/>
  <c r="AI2" i="2" a="1"/>
  <c r="AI2" i="2" s="1"/>
  <c r="AM2" i="2" a="1"/>
  <c r="AM2" i="2" s="1"/>
  <c r="AN2" i="2" a="1"/>
  <c r="AN2" i="2" s="1"/>
  <c r="W2" i="2" a="1"/>
  <c r="W2" i="2" s="1"/>
  <c r="AQ2" i="36" l="1" a="1"/>
  <c r="AQ2" i="36" s="1"/>
  <c r="P2" i="36" a="1"/>
  <c r="P2" i="36" s="1"/>
  <c r="AP2" i="36" a="1"/>
  <c r="AP2" i="36" s="1"/>
  <c r="O2" i="36" a="1"/>
  <c r="O2" i="36" s="1"/>
  <c r="N2" i="36" s="1" a="1"/>
  <c r="N2" i="36" s="1"/>
  <c r="Q2" i="2" a="1"/>
  <c r="Q2" i="2" s="1"/>
  <c r="AP2" i="2" s="1" a="1"/>
  <c r="AP2" i="2" s="1"/>
  <c r="S2" i="2" a="1"/>
  <c r="S2" i="2" s="1"/>
  <c r="AQ2" i="2" s="1" a="1"/>
  <c r="AQ2" i="2" s="1"/>
  <c r="Z2" i="36" l="1" a="1"/>
  <c r="Z2" i="36" s="1"/>
  <c r="U2" i="36" a="1"/>
  <c r="U2" i="36" s="1"/>
  <c r="AR2" i="36" s="1" a="1"/>
  <c r="AR2" i="36" s="1"/>
  <c r="F2" i="36" a="1"/>
  <c r="F2" i="36" s="1"/>
  <c r="L2" i="36" s="1" a="1"/>
  <c r="L2" i="36" s="1"/>
  <c r="V2" i="36" a="1"/>
  <c r="V2" i="36" s="1"/>
  <c r="O2" i="2" a="1"/>
  <c r="O2" i="2" s="1"/>
  <c r="P2" i="2" a="1"/>
  <c r="P2" i="2" s="1"/>
  <c r="N2" i="2" l="1" a="1"/>
  <c r="N2" i="2" s="1"/>
  <c r="F2" i="2" l="1" a="1"/>
  <c r="F2" i="2" s="1"/>
  <c r="L2" i="2" s="1" a="1"/>
  <c r="L2" i="2" s="1"/>
  <c r="V2" i="2" a="1"/>
  <c r="V2" i="2" s="1"/>
  <c r="U2" i="2" a="1"/>
  <c r="U2" i="2" s="1"/>
  <c r="AR2" i="2" s="1" a="1"/>
  <c r="AR2" i="2" s="1"/>
  <c r="Z2" i="2" a="1"/>
  <c r="Z2" i="2" s="1"/>
  <c r="AA18" i="2" l="1"/>
  <c r="AA24" i="2"/>
  <c r="AA22" i="2"/>
  <c r="AA28" i="2"/>
  <c r="AA20" i="2"/>
  <c r="AA12" i="2"/>
  <c r="AA4" i="2"/>
  <c r="AA27" i="2"/>
  <c r="AA19" i="2"/>
  <c r="AA11" i="2"/>
  <c r="AA3" i="2"/>
  <c r="AA25" i="2"/>
  <c r="AA17" i="2"/>
  <c r="AA9" i="2"/>
  <c r="AA10" i="2"/>
  <c r="AA16" i="2"/>
  <c r="AA8" i="2"/>
  <c r="AA31" i="2"/>
  <c r="AA23" i="2"/>
  <c r="AA15" i="2"/>
  <c r="AA7" i="2"/>
  <c r="AA26" i="2"/>
  <c r="AA2" i="2"/>
  <c r="AA30" i="2"/>
  <c r="AA14" i="2"/>
  <c r="AA6" i="2"/>
  <c r="AA29" i="2"/>
  <c r="AA21" i="2"/>
  <c r="AA13" i="2"/>
  <c r="AA5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<sst xmlns="http://schemas.openxmlformats.org/spreadsheetml/2006/main" count="428" uniqueCount="154">
  <si>
    <t>iD</t>
  </si>
  <si>
    <t>Név</t>
  </si>
  <si>
    <t>Születési neve</t>
  </si>
  <si>
    <t>Anyja neve</t>
  </si>
  <si>
    <t>Születési hely</t>
  </si>
  <si>
    <t>Születési idő</t>
  </si>
  <si>
    <t>email</t>
  </si>
  <si>
    <t>Telefon</t>
  </si>
  <si>
    <t>Törzslapszám</t>
  </si>
  <si>
    <t>Korábbi vizsga időpontja:</t>
  </si>
  <si>
    <t>ID</t>
  </si>
  <si>
    <t>Születési dátum</t>
  </si>
  <si>
    <t>szóbeli vizsga</t>
  </si>
  <si>
    <t>szóbeli eredmény</t>
  </si>
  <si>
    <t>póttétel</t>
  </si>
  <si>
    <t>Bizszám</t>
  </si>
  <si>
    <t>Sikeres vizsga?</t>
  </si>
  <si>
    <t>szóbelizni jöhet</t>
  </si>
  <si>
    <t>Megjelent?</t>
  </si>
  <si>
    <t>Pótló?</t>
  </si>
  <si>
    <t>Javító?</t>
  </si>
  <si>
    <t>Korábbi vizsgák</t>
  </si>
  <si>
    <t>felmentéses</t>
  </si>
  <si>
    <t>szóbeli_megjelent</t>
  </si>
  <si>
    <t>igazolt</t>
  </si>
  <si>
    <t>igazolatlan</t>
  </si>
  <si>
    <t>elso vizsgás</t>
  </si>
  <si>
    <t>felmentett</t>
  </si>
  <si>
    <t>pótló</t>
  </si>
  <si>
    <t>javító</t>
  </si>
  <si>
    <t>első vizsgás</t>
  </si>
  <si>
    <t>x</t>
  </si>
  <si>
    <t>Számvitel</t>
  </si>
  <si>
    <t>PKÖE</t>
  </si>
  <si>
    <t>Projekt</t>
  </si>
  <si>
    <t>számvitel vizsga</t>
  </si>
  <si>
    <t>PKÖE vizsga</t>
  </si>
  <si>
    <t>számvitel eredmény</t>
  </si>
  <si>
    <t>PKÖE eredmény</t>
  </si>
  <si>
    <t>sorszám_segéd</t>
  </si>
  <si>
    <t>számvitel_megjelent</t>
  </si>
  <si>
    <t>pköe_megjelent</t>
  </si>
  <si>
    <t>első_nap</t>
  </si>
  <si>
    <t>masodik_nap</t>
  </si>
  <si>
    <t>számvitel_igazolatlan</t>
  </si>
  <si>
    <t>számvitel_igazolt</t>
  </si>
  <si>
    <t>pköe_igazolatlan</t>
  </si>
  <si>
    <t>pköe_igazolt</t>
  </si>
  <si>
    <t>szóbeli_igazolatlan</t>
  </si>
  <si>
    <t>szóbeli_igazolt</t>
  </si>
  <si>
    <t>első_nap_szöveg</t>
  </si>
  <si>
    <t>masodik_nap_szöveg</t>
  </si>
  <si>
    <t>póttétel_II</t>
  </si>
  <si>
    <t>dolgozatmegtekintés</t>
  </si>
  <si>
    <t>Biziszám_II</t>
  </si>
  <si>
    <t>szamvitel_javító</t>
  </si>
  <si>
    <t>szamvitel_pótló</t>
  </si>
  <si>
    <t>pköe_javító</t>
  </si>
  <si>
    <t>pköe_pótló</t>
  </si>
  <si>
    <t>szóbeli_javító</t>
  </si>
  <si>
    <t>szóbeli_pótló</t>
  </si>
  <si>
    <t>szamvitel_szobelihez</t>
  </si>
  <si>
    <t>pköe_szobelihez</t>
  </si>
  <si>
    <t>szobeli_javito</t>
  </si>
  <si>
    <t>szamvitel_javítóvizsgához</t>
  </si>
  <si>
    <t>PKÖE_javítóvizsgához</t>
  </si>
  <si>
    <t>szobeli_javítóvizsgához</t>
  </si>
  <si>
    <t>szamvitel_státusz</t>
  </si>
  <si>
    <t>pköe_státusz</t>
  </si>
  <si>
    <t>szobeli_státusz</t>
  </si>
  <si>
    <t>Korábbi_vizsga_jegyzőbe</t>
  </si>
  <si>
    <t>Törzslapszám_jegyzokönyv</t>
  </si>
  <si>
    <t>szobeli_megjelent_státusz</t>
  </si>
  <si>
    <t>szamvitel_megjelent_státusz</t>
  </si>
  <si>
    <t>pköe_megjelent_státusz</t>
  </si>
  <si>
    <t>1991.09.10.</t>
  </si>
  <si>
    <t>magyar</t>
  </si>
  <si>
    <t>1995.02.07.</t>
  </si>
  <si>
    <t>1986.03.21.</t>
  </si>
  <si>
    <t>1999.09.11.</t>
  </si>
  <si>
    <t>1989.12.31.</t>
  </si>
  <si>
    <t>1998.08.17.</t>
  </si>
  <si>
    <t>1981.01.21.</t>
  </si>
  <si>
    <t>1988.01.29.</t>
  </si>
  <si>
    <t>1986.07.31.</t>
  </si>
  <si>
    <t>1980.03.24.</t>
  </si>
  <si>
    <t>1977.11.04.</t>
  </si>
  <si>
    <t>1970.07.06.</t>
  </si>
  <si>
    <t>1980.10.11.</t>
  </si>
  <si>
    <t>2002.01.06.</t>
  </si>
  <si>
    <t>1998.09.09.</t>
  </si>
  <si>
    <t>1971.10.31.</t>
  </si>
  <si>
    <t>1977.11.06.</t>
  </si>
  <si>
    <t>1979.07.05.</t>
  </si>
  <si>
    <t>1977.07.04.</t>
  </si>
  <si>
    <t>2000.12.29.</t>
  </si>
  <si>
    <t>1994.12.20.</t>
  </si>
  <si>
    <t>1990.05.24.</t>
  </si>
  <si>
    <t>1998.04.06.</t>
  </si>
  <si>
    <t>1990.07.07.</t>
  </si>
  <si>
    <t>1994.06.12.</t>
  </si>
  <si>
    <t>1992.09.22.</t>
  </si>
  <si>
    <t>1970.11.17.</t>
  </si>
  <si>
    <t>1978.12.22.</t>
  </si>
  <si>
    <t>1976.05.27.</t>
  </si>
  <si>
    <t>1968.02.15.</t>
  </si>
  <si>
    <t>1995.03.06.</t>
  </si>
  <si>
    <t>állampolgárság</t>
  </si>
  <si>
    <t>OM</t>
  </si>
  <si>
    <t>-</t>
  </si>
  <si>
    <t>fm85</t>
  </si>
  <si>
    <t>p</t>
  </si>
  <si>
    <t>Emily Davis</t>
  </si>
  <si>
    <t>Theodore Dinh</t>
  </si>
  <si>
    <t>Luna Sanders</t>
  </si>
  <si>
    <t>Penelope Jordan</t>
  </si>
  <si>
    <t>Austin Vo</t>
  </si>
  <si>
    <t>Joshua Gupta</t>
  </si>
  <si>
    <t>Ruby Barnes</t>
  </si>
  <si>
    <t>Luke Martin</t>
  </si>
  <si>
    <t>Easton Bailey</t>
  </si>
  <si>
    <t>Madeline Walker</t>
  </si>
  <si>
    <t>Savannah Ali</t>
  </si>
  <si>
    <t>Camila Rogers</t>
  </si>
  <si>
    <t>Eli Jones</t>
  </si>
  <si>
    <t>Everleigh Ng</t>
  </si>
  <si>
    <t>Robert Yang</t>
  </si>
  <si>
    <t>Isabella Xi</t>
  </si>
  <si>
    <t>Bella Powell</t>
  </si>
  <si>
    <t>Camila Silva</t>
  </si>
  <si>
    <t>David Barnes</t>
  </si>
  <si>
    <t>Adam Dang</t>
  </si>
  <si>
    <t>Elias Alvarado</t>
  </si>
  <si>
    <t>Eva Rivera</t>
  </si>
  <si>
    <t>Logan Rivera</t>
  </si>
  <si>
    <t>Leonardo Dixon</t>
  </si>
  <si>
    <t>Mateo Her</t>
  </si>
  <si>
    <t>Jose Henderson</t>
  </si>
  <si>
    <t>Abigail Mejia</t>
  </si>
  <si>
    <t>Wyatt Chin</t>
  </si>
  <si>
    <t>Carson Lu</t>
  </si>
  <si>
    <t>Dylan Choi</t>
  </si>
  <si>
    <t>Ezekiel Kumar</t>
  </si>
  <si>
    <t>Seattle</t>
  </si>
  <si>
    <t>Chongqing</t>
  </si>
  <si>
    <t>Chicago</t>
  </si>
  <si>
    <t>Phoenix</t>
  </si>
  <si>
    <t>Miami</t>
  </si>
  <si>
    <t>Austin</t>
  </si>
  <si>
    <t>Shanghai</t>
  </si>
  <si>
    <t>Columbus</t>
  </si>
  <si>
    <t>Manaus</t>
  </si>
  <si>
    <t>Rio de Janerio</t>
  </si>
  <si>
    <t>Beijing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</si>
</sst>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/>
        <bgColor theme="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</borders>
  <cellStyleXfs count="12">
    <xf numFmtId="0" fontId="0" fillId="0" borderId="0"/>
    <xf numFmtId="0" fontId="2" fillId="0" borderId="0" applyFill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Fill="0" applyProtection="0"/>
    <xf numFmtId="0" fontId="2" fillId="0" borderId="0" applyFill="0" applyProtection="0"/>
    <xf numFmtId="0" fontId="6" fillId="0" borderId="0" applyFill="0" applyProtection="0"/>
    <xf numFmtId="0" fontId="7" fillId="0" borderId="0" applyFill="0" applyProtection="0"/>
    <xf numFmtId="0" fontId="8" fillId="3" borderId="2" applyNumberFormat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8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14" fontId="0" fillId="5" borderId="0" xfId="0" applyNumberFormat="1" applyFill="1" applyAlignment="1">
      <alignment horizontal="center" vertical="center"/>
    </xf>
    <xf numFmtId="14" fontId="0" fillId="5" borderId="0" xfId="0" applyNumberFormat="1" applyFill="1" applyAlignment="1" applyProtection="1">
      <alignment horizontal="center" vertical="center"/>
      <protection locked="0"/>
    </xf>
    <xf numFmtId="0" fontId="18" fillId="0" borderId="0" xfId="11" applyAlignment="1">
      <alignment wrapText="1"/>
    </xf>
    <xf numFmtId="49" fontId="18" fillId="0" borderId="0" xfId="11" applyNumberFormat="1" applyAlignment="1">
      <alignment wrapText="1"/>
    </xf>
    <xf numFmtId="0" fontId="9" fillId="0" borderId="0" xfId="9" applyAlignment="1">
      <alignment wrapText="1"/>
    </xf>
  </cellXfs>
  <cellStyles count="12">
    <cellStyle name="Ellenőrzőcella 2" xfId="8" xr:uid="{00000000-0005-0000-0000-000001000000}"/>
    <cellStyle name="Hivatkozás" xfId="9" builtinId="8"/>
    <cellStyle name="Hivatkozás 2" xfId="2" xr:uid="{00000000-0005-0000-0000-000003000000}"/>
    <cellStyle name="Normál" xfId="0" builtinId="0" customBuiltin="1"/>
    <cellStyle name="Normál 2" xfId="1" xr:uid="{00000000-0005-0000-0000-000006000000}"/>
    <cellStyle name="Normál 2 2" xfId="5" xr:uid="{00000000-0005-0000-0000-000007000000}"/>
    <cellStyle name="Normál 3" xfId="4" xr:uid="{00000000-0005-0000-0000-000008000000}"/>
    <cellStyle name="Normál 4" xfId="6" xr:uid="{00000000-0005-0000-0000-000009000000}"/>
    <cellStyle name="Normál 5" xfId="7" xr:uid="{00000000-0005-0000-0000-00000A000000}"/>
    <cellStyle name="Normál 6" xfId="10" xr:uid="{D75D32BB-3B1E-48A0-93CE-9E3AB89ACF7F}"/>
    <cellStyle name="Normál 7" xfId="11" xr:uid="{A89CE6D1-732C-4F5B-91D4-F9C29B31B5A0}"/>
    <cellStyle name="Rossz 2" xfId="3" xr:uid="{00000000-0005-0000-0000-00000B000000}"/>
  </cellStyles>
  <dxfs count="63"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5"/>
        </patternFill>
      </fill>
    </dxf>
    <dxf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9" formatCode="yyyy/mm/dd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0" formatCode="General"/>
      <fill>
        <patternFill patternType="solid">
          <fgColor indexed="64"/>
          <bgColor rgb="FFFF7C8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fill>
        <patternFill patternType="none">
          <fgColor indexed="64"/>
          <bgColor auto="1"/>
        </patternFill>
      </fill>
      <protection locked="0" hidden="0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2</v>
    <v>8</v>
    <v>30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izsgazok_t" displayName="vizsgazok_t" ref="A1:AF32" totalsRowShown="0" headerRowDxfId="62" dataDxfId="61">
  <autoFilter ref="A1:AF32" xr:uid="{00000000-0009-0000-0100-000001000000}"/>
  <sortState xmlns:xlrd2="http://schemas.microsoft.com/office/spreadsheetml/2017/richdata2" ref="A2:AF32">
    <sortCondition ref="B1:B32"/>
  </sortState>
  <tableColumns count="32">
    <tableColumn id="14" xr3:uid="{900D2AD1-73CB-4FCD-99F0-1318D65904E6}" name="iD" dataDxfId="60">
      <calculatedColumnFormula>AG2</calculatedColumnFormula>
    </tableColumn>
    <tableColumn id="1" xr3:uid="{00000000-0010-0000-0000-000001000000}" name="Név" dataDxfId="59"/>
    <tableColumn id="2" xr3:uid="{00000000-0010-0000-0000-000002000000}" name="Születési neve" dataDxfId="58"/>
    <tableColumn id="4" xr3:uid="{00000000-0010-0000-0000-000004000000}" name="Születési hely" dataDxfId="57"/>
    <tableColumn id="5" xr3:uid="{00000000-0010-0000-0000-000005000000}" name="Születési idő" dataDxfId="56"/>
    <tableColumn id="3" xr3:uid="{00000000-0010-0000-0000-000003000000}" name="Anyja neve" dataDxfId="55"/>
    <tableColumn id="31" xr3:uid="{15B3F672-E9DB-4852-8EC8-905C216B0B90}" name="állampolgárság" dataDxfId="54"/>
    <tableColumn id="32" xr3:uid="{AA12C2C2-607E-43D2-94EE-34A381C5B76E}" name="OM" dataDxfId="53"/>
    <tableColumn id="6" xr3:uid="{00000000-0010-0000-0000-000006000000}" name="email" dataDxfId="52"/>
    <tableColumn id="7" xr3:uid="{00000000-0010-0000-0000-000007000000}" name="Telefon" dataDxfId="51"/>
    <tableColumn id="8" xr3:uid="{00000000-0010-0000-0000-000008000000}" name="Számvitel" dataDxfId="50"/>
    <tableColumn id="9" xr3:uid="{00000000-0010-0000-0000-000009000000}" name="PKÖE" dataDxfId="49"/>
    <tableColumn id="10" xr3:uid="{00000000-0010-0000-0000-00000A000000}" name="Projekt" dataDxfId="48"/>
    <tableColumn id="11" xr3:uid="{00000000-0010-0000-0000-00000B000000}" name="Törzslapszám" dataDxfId="47"/>
    <tableColumn id="12" xr3:uid="{00000000-0010-0000-0000-00000C000000}" name="Korábbi vizsga időpontja:" dataDxfId="46"/>
    <tableColumn id="16" xr3:uid="{8364F452-0535-414E-BC05-280337534E64}" name="első vizsgás" dataDxfId="45">
      <calculatedColumnFormula>AND(vizsgazok_t[[#This Row],[pótló]]="nem",vizsgazok_t[[#This Row],[javító]]="nem")</calculatedColumnFormula>
    </tableColumn>
    <tableColumn id="21" xr3:uid="{5E927200-3614-4E97-A634-3593EFDF6196}" name="Törzslapszám_jegyzokönyv" dataDxfId="44">
      <calculatedColumnFormula>vizsgazok_t[[#This Row],[Törzslapszám]]</calculatedColumnFormula>
    </tableColumn>
    <tableColumn id="20" xr3:uid="{BBE8CE8E-E7A0-4043-9D7A-7B05AB09735F}" name="Korábbi_vizsga_jegyzőbe" dataDxfId="43">
      <calculatedColumnFormula>TEXT(vizsgazok_t[[#This Row],[Korábbi vizsga időpontja:]],"éééé.hh.nn")</calculatedColumnFormula>
    </tableColumn>
    <tableColumn id="15" xr3:uid="{431F5A75-8862-44BC-9E48-106B2AEA203E}" name="pótló" dataDxfId="42">
      <calculatedColumnFormula>IF(COUNTIF(vizsgazok_t[[#This Row],[Számvitel]:[Projekt]],"p")&gt;0,"igen","nem")</calculatedColumnFormula>
    </tableColumn>
    <tableColumn id="13" xr3:uid="{F2616DB3-CC13-495D-ADA1-D6F067F4AD24}" name="javító" dataDxfId="41">
      <calculatedColumnFormula>IF(COUNTIF(vizsgazok_t[[#This Row],[Számvitel]:[Projekt]],"j")&gt;0,"igen","nem")</calculatedColumnFormula>
    </tableColumn>
    <tableColumn id="17" xr3:uid="{A9CC811D-F4D2-42B6-8D64-E8CAB5C4E71D}" name="felmentett" dataDxfId="40">
      <calculatedColumnFormula>IF(COUNTIF(vizsgazok_t[[#This Row],[Számvitel]:[Projekt]],"fm*")&gt;0,TRUE,FALSE)</calculatedColumnFormula>
    </tableColumn>
    <tableColumn id="29" xr3:uid="{64197484-BA82-4506-9359-C9F642356B79}" name="szamvitel_javító" dataDxfId="39">
      <calculatedColumnFormula>OR(vizsgazok_t[[#This Row],[Számvitel]]="j")</calculatedColumnFormula>
    </tableColumn>
    <tableColumn id="28" xr3:uid="{C6A9C489-76E1-4A58-9021-374E64EEC5B0}" name="szamvitel_pótló" dataDxfId="38">
      <calculatedColumnFormula>OR(vizsgazok_t[[#This Row],[Számvitel]]="p")</calculatedColumnFormula>
    </tableColumn>
    <tableColumn id="27" xr3:uid="{EAD37DA8-1C81-42B7-9F49-ECDDE9E35E24}" name="pköe_javító" dataDxfId="37">
      <calculatedColumnFormula>OR(vizsgazok_t[[#This Row],[PKÖE]]="j")</calculatedColumnFormula>
    </tableColumn>
    <tableColumn id="26" xr3:uid="{9A4184CD-303A-41E6-A7BA-81088C7366B6}" name="pköe_pótló" dataDxfId="36">
      <calculatedColumnFormula>OR(vizsgazok_t[[#This Row],[PKÖE]]="p")</calculatedColumnFormula>
    </tableColumn>
    <tableColumn id="25" xr3:uid="{07560AB6-52AF-4B9D-A0A7-D18CE9718CC5}" name="szóbeli_javító" dataDxfId="35">
      <calculatedColumnFormula>OR(vizsgazok_t[[#This Row],[Projekt]]="j")</calculatedColumnFormula>
    </tableColumn>
    <tableColumn id="30" xr3:uid="{C488AF34-D396-41CC-92AF-A20AE5458036}" name="szóbeli_pótló" dataDxfId="34">
      <calculatedColumnFormula>OR(vizsgazok_t[[#This Row],[Projekt]]="p")</calculatedColumnFormula>
    </tableColumn>
    <tableColumn id="19" xr3:uid="{E60A2613-8431-455A-B137-0BA06406A1FE}" name="első_nap" dataDxfId="33">
      <calculatedColumnFormula>OR(vizsgazok_t[[#This Row],[Számvitel]]="X",vizsgazok_t[[#This Row],[Számvitel]]="j",vizsgazok_t[[#This Row],[Számvitel]]="p")</calculatedColumnFormula>
    </tableColumn>
    <tableColumn id="22" xr3:uid="{667DA4AB-BEB2-4AF4-B724-8568FFD975FD}" name="első_nap_szöveg" dataDxfId="32">
      <calculatedColumnFormula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calculatedColumnFormula>
    </tableColumn>
    <tableColumn id="18" xr3:uid="{5BD9B132-016D-4D53-BA83-A375BE5DBA10}" name="masodik_nap" dataDxfId="31">
      <calculatedColumnFormula>OR(vizsgazok_t[[#This Row],[PKÖE]]="X",vizsgazok_t[[#This Row],[PKÖE]]="j",vizsgazok_t[[#This Row],[PKÖE]]="p")</calculatedColumnFormula>
    </tableColumn>
    <tableColumn id="23" xr3:uid="{C3B937A4-C8EA-4F11-AFAD-4A4B38F42E4F}" name="masodik_nap_szöveg" dataDxfId="30">
      <calculatedColumnFormula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calculatedColumnFormula>
    </tableColumn>
    <tableColumn id="24" xr3:uid="{677D4BB1-F604-40CD-BEFD-A08DB9078BFA}" name="dolgozatmegtekintés" dataDxfId="29">
      <calculatedColumnFormula>OR(vizsgazok_t[[#This Row],[első_nap]],vizsgazok_t[[#This Row],[masodik_nap]])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7"/>
  <sheetViews>
    <sheetView zoomScale="70" zoomScaleNormal="70" workbookViewId="0">
      <selection activeCell="C36" sqref="C36"/>
    </sheetView>
  </sheetViews>
  <sheetFormatPr defaultRowHeight="15.75" x14ac:dyDescent="0.25"/>
  <cols>
    <col min="1" max="1" width="6.625" style="15" customWidth="1"/>
    <col min="2" max="2" width="26.25" style="21" customWidth="1"/>
    <col min="3" max="3" width="23.5" style="22" bestFit="1" customWidth="1"/>
    <col min="4" max="4" width="23.25" style="22" bestFit="1" customWidth="1"/>
    <col min="5" max="5" width="14.5" style="22" bestFit="1" customWidth="1"/>
    <col min="6" max="6" width="26.375" style="22" bestFit="1" customWidth="1"/>
    <col min="7" max="8" width="21.375" style="22" customWidth="1"/>
    <col min="9" max="9" width="29" style="22" bestFit="1" customWidth="1"/>
    <col min="10" max="10" width="13.625" style="22" bestFit="1" customWidth="1"/>
    <col min="11" max="13" width="19.75" style="22" customWidth="1"/>
    <col min="14" max="14" width="17.75" style="22" bestFit="1" customWidth="1"/>
    <col min="15" max="15" width="28.75" style="22" customWidth="1"/>
    <col min="16" max="17" width="11.125" style="22" customWidth="1"/>
    <col min="18" max="18" width="17.75" style="22" customWidth="1"/>
    <col min="19" max="20" width="9" customWidth="1"/>
    <col min="21" max="21" width="11.125" style="22" customWidth="1"/>
    <col min="22" max="22" width="10.75" style="22" customWidth="1"/>
    <col min="23" max="27" width="11.125" style="22" customWidth="1"/>
    <col min="28" max="30" width="11.25" style="22" customWidth="1"/>
    <col min="31" max="31" width="15.75" style="22" customWidth="1"/>
    <col min="32" max="32" width="11.25" style="22" customWidth="1"/>
    <col min="33" max="33" width="29.375" style="22" customWidth="1"/>
    <col min="34" max="34" width="21.625" style="22" customWidth="1"/>
    <col min="35" max="35" width="19.25" style="22" customWidth="1"/>
    <col min="36" max="36" width="12.5" style="22" customWidth="1"/>
    <col min="37" max="37" width="13.375" style="15" customWidth="1"/>
    <col min="38" max="38" width="21.875" style="15" customWidth="1"/>
    <col min="39" max="16384" width="9" style="22"/>
  </cols>
  <sheetData>
    <row r="1" spans="1:38" x14ac:dyDescent="0.25">
      <c r="A1" s="23" t="s">
        <v>0</v>
      </c>
      <c r="B1" s="21" t="s">
        <v>1</v>
      </c>
      <c r="C1" s="22" t="s">
        <v>2</v>
      </c>
      <c r="D1" s="22" t="s">
        <v>4</v>
      </c>
      <c r="E1" s="22" t="s">
        <v>5</v>
      </c>
      <c r="F1" s="22" t="s">
        <v>3</v>
      </c>
      <c r="G1" s="22" t="s">
        <v>107</v>
      </c>
      <c r="H1" s="22" t="s">
        <v>108</v>
      </c>
      <c r="I1" s="22" t="s">
        <v>6</v>
      </c>
      <c r="J1" s="22" t="s">
        <v>7</v>
      </c>
      <c r="K1" s="22" t="s">
        <v>32</v>
      </c>
      <c r="L1" s="22" t="s">
        <v>33</v>
      </c>
      <c r="M1" s="22" t="s">
        <v>34</v>
      </c>
      <c r="N1" s="15" t="s">
        <v>8</v>
      </c>
      <c r="O1" s="15" t="s">
        <v>9</v>
      </c>
      <c r="P1" s="15" t="s">
        <v>30</v>
      </c>
      <c r="Q1" s="15" t="s">
        <v>71</v>
      </c>
      <c r="R1" s="15" t="s">
        <v>70</v>
      </c>
      <c r="S1" s="15" t="s">
        <v>28</v>
      </c>
      <c r="T1" s="15" t="s">
        <v>29</v>
      </c>
      <c r="U1" s="15" t="s">
        <v>27</v>
      </c>
      <c r="V1" s="15" t="s">
        <v>55</v>
      </c>
      <c r="W1" s="15" t="s">
        <v>56</v>
      </c>
      <c r="X1" s="15" t="s">
        <v>57</v>
      </c>
      <c r="Y1" s="15" t="s">
        <v>58</v>
      </c>
      <c r="Z1" s="15" t="s">
        <v>59</v>
      </c>
      <c r="AA1" s="15" t="s">
        <v>60</v>
      </c>
      <c r="AB1" s="15" t="s">
        <v>42</v>
      </c>
      <c r="AC1" s="15" t="s">
        <v>50</v>
      </c>
      <c r="AD1" s="15" t="s">
        <v>43</v>
      </c>
      <c r="AE1" s="15" t="s">
        <v>51</v>
      </c>
      <c r="AF1" s="15" t="s">
        <v>53</v>
      </c>
      <c r="AG1" s="22" t="s">
        <v>39</v>
      </c>
      <c r="AK1" s="22"/>
      <c r="AL1" s="22"/>
    </row>
    <row r="2" spans="1:38" s="19" customFormat="1" ht="24" customHeight="1" x14ac:dyDescent="0.25">
      <c r="A2" s="15">
        <f t="shared" ref="A2:A32" si="0">AG2</f>
        <v>1</v>
      </c>
      <c r="B2" s="28" t="s">
        <v>112</v>
      </c>
      <c r="C2" s="28" t="s">
        <v>112</v>
      </c>
      <c r="D2" s="28" t="s">
        <v>143</v>
      </c>
      <c r="E2" s="29" t="s">
        <v>79</v>
      </c>
      <c r="F2" s="28" t="s">
        <v>112</v>
      </c>
      <c r="G2" s="28" t="s">
        <v>76</v>
      </c>
      <c r="H2" s="28"/>
      <c r="I2" s="30"/>
      <c r="J2" s="29"/>
      <c r="K2" s="15" t="s">
        <v>31</v>
      </c>
      <c r="L2" s="15" t="s">
        <v>31</v>
      </c>
      <c r="M2" s="15" t="s">
        <v>31</v>
      </c>
      <c r="N2" s="15"/>
      <c r="O2" s="18"/>
      <c r="P2" s="25" t="b">
        <f>AND(vizsgazok_t[[#This Row],[pótló]]="nem",vizsgazok_t[[#This Row],[javító]]="nem")</f>
        <v>1</v>
      </c>
      <c r="Q2" s="25">
        <f>vizsgazok_t[[#This Row],[Törzslapszám]]</f>
        <v>0</v>
      </c>
      <c r="R2" s="25" t="str">
        <f>TEXT(vizsgazok_t[[#This Row],[Korábbi vizsga időpontja:]],"éééé.hh.nn")</f>
        <v>1900.01.00</v>
      </c>
      <c r="S2" s="25" t="str">
        <f>IF(COUNTIF(vizsgazok_t[[#This Row],[Számvitel]:[Projekt]],"p")&gt;0,"igen","nem")</f>
        <v>nem</v>
      </c>
      <c r="T2" s="27" t="str">
        <f>IF(COUNTIF(vizsgazok_t[[#This Row],[Számvitel]:[Projekt]],"j")&gt;0,"igen","nem")</f>
        <v>nem</v>
      </c>
      <c r="U2" s="25" t="b">
        <f>IF(COUNTIF(vizsgazok_t[[#This Row],[Számvitel]:[Projekt]],"fm*")&gt;0,TRUE,FALSE)</f>
        <v>0</v>
      </c>
      <c r="V2" s="25" t="b">
        <f>OR(vizsgazok_t[[#This Row],[Számvitel]]="j")</f>
        <v>0</v>
      </c>
      <c r="W2" s="25" t="b">
        <f>OR(vizsgazok_t[[#This Row],[Számvitel]]="p")</f>
        <v>0</v>
      </c>
      <c r="X2" s="25" t="b">
        <f>OR(vizsgazok_t[[#This Row],[PKÖE]]="j")</f>
        <v>0</v>
      </c>
      <c r="Y2" s="25" t="b">
        <f>OR(vizsgazok_t[[#This Row],[PKÖE]]="p")</f>
        <v>0</v>
      </c>
      <c r="Z2" s="25" t="b">
        <f>OR(vizsgazok_t[[#This Row],[Projekt]]="j")</f>
        <v>0</v>
      </c>
      <c r="AA2" s="25" t="b">
        <f>OR(vizsgazok_t[[#This Row],[Projekt]]="p")</f>
        <v>0</v>
      </c>
      <c r="AB2" s="25" t="b">
        <f>OR(vizsgazok_t[[#This Row],[Számvitel]]="X",vizsgazok_t[[#This Row],[Számvitel]]="j",vizsgazok_t[[#This Row],[Számvitel]]="p")</f>
        <v>1</v>
      </c>
      <c r="AC2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" s="25" t="b">
        <f>OR(vizsgazok_t[[#This Row],[PKÖE]]="X",vizsgazok_t[[#This Row],[PKÖE]]="j",vizsgazok_t[[#This Row],[PKÖE]]="p")</f>
        <v>1</v>
      </c>
      <c r="AE2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" s="25" t="b">
        <f>OR(vizsgazok_t[[#This Row],[első_nap]],vizsgazok_t[[#This Row],[masodik_nap]])</f>
        <v>1</v>
      </c>
      <c r="AG2" s="1" cm="1">
        <f t="array" ref="AG2:AG32">_xlfn.SEQUENCE(COUNTA(B:B)-1)</f>
        <v>1</v>
      </c>
    </row>
    <row r="3" spans="1:38" s="19" customFormat="1" ht="24" customHeight="1" x14ac:dyDescent="0.25">
      <c r="A3" s="15">
        <f t="shared" si="0"/>
        <v>2</v>
      </c>
      <c r="B3" s="28" t="s">
        <v>113</v>
      </c>
      <c r="C3" s="28" t="s">
        <v>113</v>
      </c>
      <c r="D3" s="28" t="s">
        <v>144</v>
      </c>
      <c r="E3" s="29" t="s">
        <v>98</v>
      </c>
      <c r="F3" s="28" t="s">
        <v>113</v>
      </c>
      <c r="G3" s="28" t="s">
        <v>76</v>
      </c>
      <c r="H3" s="28"/>
      <c r="I3" s="28"/>
      <c r="J3" s="29"/>
      <c r="K3" s="15" t="s">
        <v>31</v>
      </c>
      <c r="L3" s="15" t="s">
        <v>31</v>
      </c>
      <c r="M3" s="15" t="s">
        <v>31</v>
      </c>
      <c r="N3" s="15"/>
      <c r="O3" s="18"/>
      <c r="P3" s="25" t="b">
        <f>AND(vizsgazok_t[[#This Row],[pótló]]="nem",vizsgazok_t[[#This Row],[javító]]="nem")</f>
        <v>1</v>
      </c>
      <c r="Q3" s="25">
        <f>vizsgazok_t[[#This Row],[Törzslapszám]]</f>
        <v>0</v>
      </c>
      <c r="R3" s="25" t="str">
        <f>TEXT(vizsgazok_t[[#This Row],[Korábbi vizsga időpontja:]],"éééé.hh.nn")</f>
        <v>1900.01.00</v>
      </c>
      <c r="S3" s="25" t="str">
        <f>IF(COUNTIF(vizsgazok_t[[#This Row],[Számvitel]:[Projekt]],"p")&gt;0,"igen","nem")</f>
        <v>nem</v>
      </c>
      <c r="T3" s="27" t="str">
        <f>IF(COUNTIF(vizsgazok_t[[#This Row],[Számvitel]:[Projekt]],"j")&gt;0,"igen","nem")</f>
        <v>nem</v>
      </c>
      <c r="U3" s="25" t="b">
        <f>IF(COUNTIF(vizsgazok_t[[#This Row],[Számvitel]:[Projekt]],"fm*")&gt;0,TRUE,FALSE)</f>
        <v>0</v>
      </c>
      <c r="V3" s="25" t="b">
        <f>OR(vizsgazok_t[[#This Row],[Számvitel]]="j")</f>
        <v>0</v>
      </c>
      <c r="W3" s="25" t="b">
        <f>OR(vizsgazok_t[[#This Row],[Számvitel]]="p")</f>
        <v>0</v>
      </c>
      <c r="X3" s="25" t="b">
        <f>OR(vizsgazok_t[[#This Row],[PKÖE]]="j")</f>
        <v>0</v>
      </c>
      <c r="Y3" s="25" t="b">
        <f>OR(vizsgazok_t[[#This Row],[PKÖE]]="p")</f>
        <v>0</v>
      </c>
      <c r="Z3" s="25" t="b">
        <f>OR(vizsgazok_t[[#This Row],[Projekt]]="j")</f>
        <v>0</v>
      </c>
      <c r="AA3" s="25" t="b">
        <f>OR(vizsgazok_t[[#This Row],[Projekt]]="p")</f>
        <v>0</v>
      </c>
      <c r="AB3" s="25" t="b">
        <f>OR(vizsgazok_t[[#This Row],[Számvitel]]="X",vizsgazok_t[[#This Row],[Számvitel]]="j",vizsgazok_t[[#This Row],[Számvitel]]="p")</f>
        <v>1</v>
      </c>
      <c r="AC3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3" s="25" t="b">
        <f>OR(vizsgazok_t[[#This Row],[PKÖE]]="X",vizsgazok_t[[#This Row],[PKÖE]]="j",vizsgazok_t[[#This Row],[PKÖE]]="p")</f>
        <v>1</v>
      </c>
      <c r="AE3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3" s="25" t="b">
        <f>OR(vizsgazok_t[[#This Row],[első_nap]],vizsgazok_t[[#This Row],[masodik_nap]])</f>
        <v>1</v>
      </c>
      <c r="AG3" s="15">
        <v>2</v>
      </c>
    </row>
    <row r="4" spans="1:38" s="19" customFormat="1" ht="24" customHeight="1" x14ac:dyDescent="0.25">
      <c r="A4" s="15">
        <f t="shared" si="0"/>
        <v>3</v>
      </c>
      <c r="B4" s="28" t="s">
        <v>114</v>
      </c>
      <c r="C4" s="28" t="s">
        <v>114</v>
      </c>
      <c r="D4" s="28" t="s">
        <v>145</v>
      </c>
      <c r="E4" s="29" t="s">
        <v>80</v>
      </c>
      <c r="F4" s="28" t="s">
        <v>114</v>
      </c>
      <c r="G4" s="28" t="s">
        <v>76</v>
      </c>
      <c r="H4" s="28"/>
      <c r="I4" s="28"/>
      <c r="J4" s="29"/>
      <c r="K4" s="15" t="s">
        <v>31</v>
      </c>
      <c r="L4" s="15" t="s">
        <v>31</v>
      </c>
      <c r="M4" s="15" t="s">
        <v>31</v>
      </c>
      <c r="N4" s="15"/>
      <c r="O4" s="18"/>
      <c r="P4" s="25" t="b">
        <f>AND(vizsgazok_t[[#This Row],[pótló]]="nem",vizsgazok_t[[#This Row],[javító]]="nem")</f>
        <v>1</v>
      </c>
      <c r="Q4" s="25">
        <f>vizsgazok_t[[#This Row],[Törzslapszám]]</f>
        <v>0</v>
      </c>
      <c r="R4" s="25" t="str">
        <f>TEXT(vizsgazok_t[[#This Row],[Korábbi vizsga időpontja:]],"éééé.hh.nn")</f>
        <v>1900.01.00</v>
      </c>
      <c r="S4" s="25" t="str">
        <f>IF(COUNTIF(vizsgazok_t[[#This Row],[Számvitel]:[Projekt]],"p")&gt;0,"igen","nem")</f>
        <v>nem</v>
      </c>
      <c r="T4" s="27" t="str">
        <f>IF(COUNTIF(vizsgazok_t[[#This Row],[Számvitel]:[Projekt]],"j")&gt;0,"igen","nem")</f>
        <v>nem</v>
      </c>
      <c r="U4" s="25" t="b">
        <f>IF(COUNTIF(vizsgazok_t[[#This Row],[Számvitel]:[Projekt]],"fm*")&gt;0,TRUE,FALSE)</f>
        <v>0</v>
      </c>
      <c r="V4" s="25" t="b">
        <f>OR(vizsgazok_t[[#This Row],[Számvitel]]="j")</f>
        <v>0</v>
      </c>
      <c r="W4" s="25" t="b">
        <f>OR(vizsgazok_t[[#This Row],[Számvitel]]="p")</f>
        <v>0</v>
      </c>
      <c r="X4" s="25" t="b">
        <f>OR(vizsgazok_t[[#This Row],[PKÖE]]="j")</f>
        <v>0</v>
      </c>
      <c r="Y4" s="25" t="b">
        <f>OR(vizsgazok_t[[#This Row],[PKÖE]]="p")</f>
        <v>0</v>
      </c>
      <c r="Z4" s="25" t="b">
        <f>OR(vizsgazok_t[[#This Row],[Projekt]]="j")</f>
        <v>0</v>
      </c>
      <c r="AA4" s="25" t="b">
        <f>OR(vizsgazok_t[[#This Row],[Projekt]]="p")</f>
        <v>0</v>
      </c>
      <c r="AB4" s="25" t="b">
        <f>OR(vizsgazok_t[[#This Row],[Számvitel]]="X",vizsgazok_t[[#This Row],[Számvitel]]="j",vizsgazok_t[[#This Row],[Számvitel]]="p")</f>
        <v>1</v>
      </c>
      <c r="AC4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4" s="25" t="b">
        <f>OR(vizsgazok_t[[#This Row],[PKÖE]]="X",vizsgazok_t[[#This Row],[PKÖE]]="j",vizsgazok_t[[#This Row],[PKÖE]]="p")</f>
        <v>1</v>
      </c>
      <c r="AE4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4" s="25" t="b">
        <f>OR(vizsgazok_t[[#This Row],[első_nap]],vizsgazok_t[[#This Row],[masodik_nap]])</f>
        <v>1</v>
      </c>
      <c r="AG4" s="15">
        <v>3</v>
      </c>
    </row>
    <row r="5" spans="1:38" s="19" customFormat="1" ht="24" customHeight="1" x14ac:dyDescent="0.25">
      <c r="A5" s="15">
        <f t="shared" si="0"/>
        <v>4</v>
      </c>
      <c r="B5" s="28" t="s">
        <v>115</v>
      </c>
      <c r="C5" s="28" t="s">
        <v>115</v>
      </c>
      <c r="D5" s="28" t="s">
        <v>145</v>
      </c>
      <c r="E5" s="29" t="s">
        <v>81</v>
      </c>
      <c r="F5" s="28" t="s">
        <v>115</v>
      </c>
      <c r="G5" s="28" t="s">
        <v>76</v>
      </c>
      <c r="H5" s="28"/>
      <c r="I5" s="28"/>
      <c r="J5" s="29"/>
      <c r="K5" s="15" t="s">
        <v>31</v>
      </c>
      <c r="L5" s="15" t="s">
        <v>31</v>
      </c>
      <c r="M5" s="15" t="s">
        <v>31</v>
      </c>
      <c r="N5" s="15"/>
      <c r="O5" s="18"/>
      <c r="P5" s="25" t="b">
        <f>AND(vizsgazok_t[[#This Row],[pótló]]="nem",vizsgazok_t[[#This Row],[javító]]="nem")</f>
        <v>1</v>
      </c>
      <c r="Q5" s="25">
        <f>vizsgazok_t[[#This Row],[Törzslapszám]]</f>
        <v>0</v>
      </c>
      <c r="R5" s="25" t="str">
        <f>TEXT(vizsgazok_t[[#This Row],[Korábbi vizsga időpontja:]],"éééé.hh.nn")</f>
        <v>1900.01.00</v>
      </c>
      <c r="S5" s="25" t="str">
        <f>IF(COUNTIF(vizsgazok_t[[#This Row],[Számvitel]:[Projekt]],"p")&gt;0,"igen","nem")</f>
        <v>nem</v>
      </c>
      <c r="T5" s="27" t="str">
        <f>IF(COUNTIF(vizsgazok_t[[#This Row],[Számvitel]:[Projekt]],"j")&gt;0,"igen","nem")</f>
        <v>nem</v>
      </c>
      <c r="U5" s="25" t="b">
        <f>IF(COUNTIF(vizsgazok_t[[#This Row],[Számvitel]:[Projekt]],"fm*")&gt;0,TRUE,FALSE)</f>
        <v>0</v>
      </c>
      <c r="V5" s="25" t="b">
        <f>OR(vizsgazok_t[[#This Row],[Számvitel]]="j")</f>
        <v>0</v>
      </c>
      <c r="W5" s="25" t="b">
        <f>OR(vizsgazok_t[[#This Row],[Számvitel]]="p")</f>
        <v>0</v>
      </c>
      <c r="X5" s="25" t="b">
        <f>OR(vizsgazok_t[[#This Row],[PKÖE]]="j")</f>
        <v>0</v>
      </c>
      <c r="Y5" s="25" t="b">
        <f>OR(vizsgazok_t[[#This Row],[PKÖE]]="p")</f>
        <v>0</v>
      </c>
      <c r="Z5" s="25" t="b">
        <f>OR(vizsgazok_t[[#This Row],[Projekt]]="j")</f>
        <v>0</v>
      </c>
      <c r="AA5" s="25" t="b">
        <f>OR(vizsgazok_t[[#This Row],[Projekt]]="p")</f>
        <v>0</v>
      </c>
      <c r="AB5" s="25" t="b">
        <f>OR(vizsgazok_t[[#This Row],[Számvitel]]="X",vizsgazok_t[[#This Row],[Számvitel]]="j",vizsgazok_t[[#This Row],[Számvitel]]="p")</f>
        <v>1</v>
      </c>
      <c r="AC5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5" s="25" t="b">
        <f>OR(vizsgazok_t[[#This Row],[PKÖE]]="X",vizsgazok_t[[#This Row],[PKÖE]]="j",vizsgazok_t[[#This Row],[PKÖE]]="p")</f>
        <v>1</v>
      </c>
      <c r="AE5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5" s="25" t="b">
        <f>OR(vizsgazok_t[[#This Row],[első_nap]],vizsgazok_t[[#This Row],[masodik_nap]])</f>
        <v>1</v>
      </c>
      <c r="AG5" s="15">
        <v>4</v>
      </c>
    </row>
    <row r="6" spans="1:38" s="19" customFormat="1" ht="24" customHeight="1" x14ac:dyDescent="0.25">
      <c r="A6" s="15">
        <f t="shared" si="0"/>
        <v>5</v>
      </c>
      <c r="B6" s="28" t="s">
        <v>116</v>
      </c>
      <c r="C6" s="28" t="s">
        <v>116</v>
      </c>
      <c r="D6" s="28" t="s">
        <v>146</v>
      </c>
      <c r="E6" s="29" t="s">
        <v>99</v>
      </c>
      <c r="F6" s="28" t="s">
        <v>116</v>
      </c>
      <c r="G6" s="28" t="s">
        <v>76</v>
      </c>
      <c r="H6" s="28"/>
      <c r="I6" s="28"/>
      <c r="J6" s="29"/>
      <c r="K6" s="15" t="s">
        <v>31</v>
      </c>
      <c r="L6" s="15" t="s">
        <v>31</v>
      </c>
      <c r="M6" s="15" t="s">
        <v>31</v>
      </c>
      <c r="N6" s="15"/>
      <c r="O6" s="18"/>
      <c r="P6" s="25" t="b">
        <f>AND(vizsgazok_t[[#This Row],[pótló]]="nem",vizsgazok_t[[#This Row],[javító]]="nem")</f>
        <v>1</v>
      </c>
      <c r="Q6" s="25">
        <f>vizsgazok_t[[#This Row],[Törzslapszám]]</f>
        <v>0</v>
      </c>
      <c r="R6" s="25" t="str">
        <f>TEXT(vizsgazok_t[[#This Row],[Korábbi vizsga időpontja:]],"éééé.hh.nn")</f>
        <v>1900.01.00</v>
      </c>
      <c r="S6" s="25" t="str">
        <f>IF(COUNTIF(vizsgazok_t[[#This Row],[Számvitel]:[Projekt]],"p")&gt;0,"igen","nem")</f>
        <v>nem</v>
      </c>
      <c r="T6" s="27" t="str">
        <f>IF(COUNTIF(vizsgazok_t[[#This Row],[Számvitel]:[Projekt]],"j")&gt;0,"igen","nem")</f>
        <v>nem</v>
      </c>
      <c r="U6" s="25" t="b">
        <f>IF(COUNTIF(vizsgazok_t[[#This Row],[Számvitel]:[Projekt]],"fm*")&gt;0,TRUE,FALSE)</f>
        <v>0</v>
      </c>
      <c r="V6" s="25" t="b">
        <f>OR(vizsgazok_t[[#This Row],[Számvitel]]="j")</f>
        <v>0</v>
      </c>
      <c r="W6" s="25" t="b">
        <f>OR(vizsgazok_t[[#This Row],[Számvitel]]="p")</f>
        <v>0</v>
      </c>
      <c r="X6" s="25" t="b">
        <f>OR(vizsgazok_t[[#This Row],[PKÖE]]="j")</f>
        <v>0</v>
      </c>
      <c r="Y6" s="25" t="b">
        <f>OR(vizsgazok_t[[#This Row],[PKÖE]]="p")</f>
        <v>0</v>
      </c>
      <c r="Z6" s="25" t="b">
        <f>OR(vizsgazok_t[[#This Row],[Projekt]]="j")</f>
        <v>0</v>
      </c>
      <c r="AA6" s="25" t="b">
        <f>OR(vizsgazok_t[[#This Row],[Projekt]]="p")</f>
        <v>0</v>
      </c>
      <c r="AB6" s="25" t="b">
        <f>OR(vizsgazok_t[[#This Row],[Számvitel]]="X",vizsgazok_t[[#This Row],[Számvitel]]="j",vizsgazok_t[[#This Row],[Számvitel]]="p")</f>
        <v>1</v>
      </c>
      <c r="AC6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6" s="25" t="b">
        <f>OR(vizsgazok_t[[#This Row],[PKÖE]]="X",vizsgazok_t[[#This Row],[PKÖE]]="j",vizsgazok_t[[#This Row],[PKÖE]]="p")</f>
        <v>1</v>
      </c>
      <c r="AE6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6" s="25" t="b">
        <f>OR(vizsgazok_t[[#This Row],[első_nap]],vizsgazok_t[[#This Row],[masodik_nap]])</f>
        <v>1</v>
      </c>
      <c r="AG6" s="15">
        <v>5</v>
      </c>
    </row>
    <row r="7" spans="1:38" s="19" customFormat="1" ht="24" customHeight="1" x14ac:dyDescent="0.25">
      <c r="A7" s="15">
        <f t="shared" si="0"/>
        <v>6</v>
      </c>
      <c r="B7" s="28" t="s">
        <v>117</v>
      </c>
      <c r="C7" s="28" t="s">
        <v>117</v>
      </c>
      <c r="D7" s="28" t="s">
        <v>144</v>
      </c>
      <c r="E7" s="29" t="s">
        <v>104</v>
      </c>
      <c r="F7" s="28" t="s">
        <v>117</v>
      </c>
      <c r="G7" s="28" t="s">
        <v>76</v>
      </c>
      <c r="H7" s="28"/>
      <c r="I7" s="28"/>
      <c r="J7" s="29"/>
      <c r="K7" s="15" t="s">
        <v>31</v>
      </c>
      <c r="L7" s="15" t="s">
        <v>31</v>
      </c>
      <c r="M7" s="15" t="s">
        <v>31</v>
      </c>
      <c r="N7" s="15"/>
      <c r="O7" s="18"/>
      <c r="P7" s="25" t="b">
        <f>AND(vizsgazok_t[[#This Row],[pótló]]="nem",vizsgazok_t[[#This Row],[javító]]="nem")</f>
        <v>1</v>
      </c>
      <c r="Q7" s="25">
        <f>vizsgazok_t[[#This Row],[Törzslapszám]]</f>
        <v>0</v>
      </c>
      <c r="R7" s="25" t="str">
        <f>TEXT(vizsgazok_t[[#This Row],[Korábbi vizsga időpontja:]],"éééé.hh.nn")</f>
        <v>1900.01.00</v>
      </c>
      <c r="S7" s="25" t="str">
        <f>IF(COUNTIF(vizsgazok_t[[#This Row],[Számvitel]:[Projekt]],"p")&gt;0,"igen","nem")</f>
        <v>nem</v>
      </c>
      <c r="T7" s="27" t="str">
        <f>IF(COUNTIF(vizsgazok_t[[#This Row],[Számvitel]:[Projekt]],"j")&gt;0,"igen","nem")</f>
        <v>nem</v>
      </c>
      <c r="U7" s="25" t="b">
        <f>IF(COUNTIF(vizsgazok_t[[#This Row],[Számvitel]:[Projekt]],"fm*")&gt;0,TRUE,FALSE)</f>
        <v>0</v>
      </c>
      <c r="V7" s="25" t="b">
        <f>OR(vizsgazok_t[[#This Row],[Számvitel]]="j")</f>
        <v>0</v>
      </c>
      <c r="W7" s="25" t="b">
        <f>OR(vizsgazok_t[[#This Row],[Számvitel]]="p")</f>
        <v>0</v>
      </c>
      <c r="X7" s="25" t="b">
        <f>OR(vizsgazok_t[[#This Row],[PKÖE]]="j")</f>
        <v>0</v>
      </c>
      <c r="Y7" s="25" t="b">
        <f>OR(vizsgazok_t[[#This Row],[PKÖE]]="p")</f>
        <v>0</v>
      </c>
      <c r="Z7" s="25" t="b">
        <f>OR(vizsgazok_t[[#This Row],[Projekt]]="j")</f>
        <v>0</v>
      </c>
      <c r="AA7" s="25" t="b">
        <f>OR(vizsgazok_t[[#This Row],[Projekt]]="p")</f>
        <v>0</v>
      </c>
      <c r="AB7" s="25" t="b">
        <f>OR(vizsgazok_t[[#This Row],[Számvitel]]="X",vizsgazok_t[[#This Row],[Számvitel]]="j",vizsgazok_t[[#This Row],[Számvitel]]="p")</f>
        <v>1</v>
      </c>
      <c r="AC7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7" s="25" t="b">
        <f>OR(vizsgazok_t[[#This Row],[PKÖE]]="X",vizsgazok_t[[#This Row],[PKÖE]]="j",vizsgazok_t[[#This Row],[PKÖE]]="p")</f>
        <v>1</v>
      </c>
      <c r="AE7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7" s="25" t="b">
        <f>OR(vizsgazok_t[[#This Row],[első_nap]],vizsgazok_t[[#This Row],[masodik_nap]])</f>
        <v>1</v>
      </c>
      <c r="AG7" s="15">
        <v>6</v>
      </c>
    </row>
    <row r="8" spans="1:38" s="19" customFormat="1" ht="24" customHeight="1" x14ac:dyDescent="0.25">
      <c r="A8" s="15">
        <f t="shared" si="0"/>
        <v>7</v>
      </c>
      <c r="B8" s="28" t="s">
        <v>118</v>
      </c>
      <c r="C8" s="28" t="s">
        <v>118</v>
      </c>
      <c r="D8" s="28" t="s">
        <v>146</v>
      </c>
      <c r="E8" s="29" t="s">
        <v>103</v>
      </c>
      <c r="F8" s="28" t="s">
        <v>118</v>
      </c>
      <c r="G8" s="28" t="s">
        <v>76</v>
      </c>
      <c r="H8" s="28"/>
      <c r="I8" s="28"/>
      <c r="J8" s="29"/>
      <c r="K8" s="15" t="s">
        <v>31</v>
      </c>
      <c r="L8" s="15" t="s">
        <v>31</v>
      </c>
      <c r="M8" s="15" t="s">
        <v>31</v>
      </c>
      <c r="N8" s="15"/>
      <c r="O8" s="18"/>
      <c r="P8" s="25" t="b">
        <f>AND(vizsgazok_t[[#This Row],[pótló]]="nem",vizsgazok_t[[#This Row],[javító]]="nem")</f>
        <v>1</v>
      </c>
      <c r="Q8" s="25">
        <f>vizsgazok_t[[#This Row],[Törzslapszám]]</f>
        <v>0</v>
      </c>
      <c r="R8" s="25" t="str">
        <f>TEXT(vizsgazok_t[[#This Row],[Korábbi vizsga időpontja:]],"éééé.hh.nn")</f>
        <v>1900.01.00</v>
      </c>
      <c r="S8" s="25" t="str">
        <f>IF(COUNTIF(vizsgazok_t[[#This Row],[Számvitel]:[Projekt]],"p")&gt;0,"igen","nem")</f>
        <v>nem</v>
      </c>
      <c r="T8" s="27" t="str">
        <f>IF(COUNTIF(vizsgazok_t[[#This Row],[Számvitel]:[Projekt]],"j")&gt;0,"igen","nem")</f>
        <v>nem</v>
      </c>
      <c r="U8" s="25" t="b">
        <f>IF(COUNTIF(vizsgazok_t[[#This Row],[Számvitel]:[Projekt]],"fm*")&gt;0,TRUE,FALSE)</f>
        <v>0</v>
      </c>
      <c r="V8" s="25" t="b">
        <f>OR(vizsgazok_t[[#This Row],[Számvitel]]="j")</f>
        <v>0</v>
      </c>
      <c r="W8" s="25" t="b">
        <f>OR(vizsgazok_t[[#This Row],[Számvitel]]="p")</f>
        <v>0</v>
      </c>
      <c r="X8" s="25" t="b">
        <f>OR(vizsgazok_t[[#This Row],[PKÖE]]="j")</f>
        <v>0</v>
      </c>
      <c r="Y8" s="25" t="b">
        <f>OR(vizsgazok_t[[#This Row],[PKÖE]]="p")</f>
        <v>0</v>
      </c>
      <c r="Z8" s="25" t="b">
        <f>OR(vizsgazok_t[[#This Row],[Projekt]]="j")</f>
        <v>0</v>
      </c>
      <c r="AA8" s="25" t="b">
        <f>OR(vizsgazok_t[[#This Row],[Projekt]]="p")</f>
        <v>0</v>
      </c>
      <c r="AB8" s="25" t="b">
        <f>OR(vizsgazok_t[[#This Row],[Számvitel]]="X",vizsgazok_t[[#This Row],[Számvitel]]="j",vizsgazok_t[[#This Row],[Számvitel]]="p")</f>
        <v>1</v>
      </c>
      <c r="AC8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8" s="25" t="b">
        <f>OR(vizsgazok_t[[#This Row],[PKÖE]]="X",vizsgazok_t[[#This Row],[PKÖE]]="j",vizsgazok_t[[#This Row],[PKÖE]]="p")</f>
        <v>1</v>
      </c>
      <c r="AE8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8" s="25" t="b">
        <f>OR(vizsgazok_t[[#This Row],[első_nap]],vizsgazok_t[[#This Row],[masodik_nap]])</f>
        <v>1</v>
      </c>
      <c r="AG8" s="15">
        <v>7</v>
      </c>
    </row>
    <row r="9" spans="1:38" s="19" customFormat="1" ht="24" customHeight="1" x14ac:dyDescent="0.25">
      <c r="A9" s="15">
        <f t="shared" si="0"/>
        <v>8</v>
      </c>
      <c r="B9" s="28" t="s">
        <v>119</v>
      </c>
      <c r="C9" s="28" t="s">
        <v>119</v>
      </c>
      <c r="D9" s="28" t="s">
        <v>147</v>
      </c>
      <c r="E9" s="29" t="s">
        <v>75</v>
      </c>
      <c r="F9" s="28" t="s">
        <v>119</v>
      </c>
      <c r="G9" s="28" t="s">
        <v>76</v>
      </c>
      <c r="H9" s="28"/>
      <c r="I9" s="28"/>
      <c r="J9" s="29"/>
      <c r="K9" s="15" t="s">
        <v>31</v>
      </c>
      <c r="L9" s="15" t="s">
        <v>31</v>
      </c>
      <c r="M9" s="15" t="s">
        <v>31</v>
      </c>
      <c r="N9" s="15"/>
      <c r="O9" s="18"/>
      <c r="P9" s="25" t="b">
        <f>AND(vizsgazok_t[[#This Row],[pótló]]="nem",vizsgazok_t[[#This Row],[javító]]="nem")</f>
        <v>1</v>
      </c>
      <c r="Q9" s="25">
        <f>vizsgazok_t[[#This Row],[Törzslapszám]]</f>
        <v>0</v>
      </c>
      <c r="R9" s="25" t="str">
        <f>TEXT(vizsgazok_t[[#This Row],[Korábbi vizsga időpontja:]],"éééé.hh.nn")</f>
        <v>1900.01.00</v>
      </c>
      <c r="S9" s="25" t="str">
        <f>IF(COUNTIF(vizsgazok_t[[#This Row],[Számvitel]:[Projekt]],"p")&gt;0,"igen","nem")</f>
        <v>nem</v>
      </c>
      <c r="T9" s="27" t="str">
        <f>IF(COUNTIF(vizsgazok_t[[#This Row],[Számvitel]:[Projekt]],"j")&gt;0,"igen","nem")</f>
        <v>nem</v>
      </c>
      <c r="U9" s="25" t="b">
        <f>IF(COUNTIF(vizsgazok_t[[#This Row],[Számvitel]:[Projekt]],"fm*")&gt;0,TRUE,FALSE)</f>
        <v>0</v>
      </c>
      <c r="V9" s="25" t="b">
        <f>OR(vizsgazok_t[[#This Row],[Számvitel]]="j")</f>
        <v>0</v>
      </c>
      <c r="W9" s="25" t="b">
        <f>OR(vizsgazok_t[[#This Row],[Számvitel]]="p")</f>
        <v>0</v>
      </c>
      <c r="X9" s="25" t="b">
        <f>OR(vizsgazok_t[[#This Row],[PKÖE]]="j")</f>
        <v>0</v>
      </c>
      <c r="Y9" s="25" t="b">
        <f>OR(vizsgazok_t[[#This Row],[PKÖE]]="p")</f>
        <v>0</v>
      </c>
      <c r="Z9" s="25" t="b">
        <f>OR(vizsgazok_t[[#This Row],[Projekt]]="j")</f>
        <v>0</v>
      </c>
      <c r="AA9" s="25" t="b">
        <f>OR(vizsgazok_t[[#This Row],[Projekt]]="p")</f>
        <v>0</v>
      </c>
      <c r="AB9" s="25" t="b">
        <f>OR(vizsgazok_t[[#This Row],[Számvitel]]="X",vizsgazok_t[[#This Row],[Számvitel]]="j",vizsgazok_t[[#This Row],[Számvitel]]="p")</f>
        <v>1</v>
      </c>
      <c r="AC9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9" s="25" t="b">
        <f>OR(vizsgazok_t[[#This Row],[PKÖE]]="X",vizsgazok_t[[#This Row],[PKÖE]]="j",vizsgazok_t[[#This Row],[PKÖE]]="p")</f>
        <v>1</v>
      </c>
      <c r="AE9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9" s="25" t="b">
        <f>OR(vizsgazok_t[[#This Row],[első_nap]],vizsgazok_t[[#This Row],[masodik_nap]])</f>
        <v>1</v>
      </c>
      <c r="AG9" s="15">
        <v>8</v>
      </c>
    </row>
    <row r="10" spans="1:38" s="19" customFormat="1" ht="24" customHeight="1" x14ac:dyDescent="0.25">
      <c r="A10" s="15">
        <f t="shared" si="0"/>
        <v>9</v>
      </c>
      <c r="B10" s="28" t="s">
        <v>120</v>
      </c>
      <c r="C10" s="28" t="s">
        <v>120</v>
      </c>
      <c r="D10" s="28" t="s">
        <v>148</v>
      </c>
      <c r="E10" s="29" t="s">
        <v>96</v>
      </c>
      <c r="F10" s="28" t="s">
        <v>120</v>
      </c>
      <c r="G10" s="28" t="s">
        <v>76</v>
      </c>
      <c r="H10" s="28"/>
      <c r="I10" s="28"/>
      <c r="J10" s="29"/>
      <c r="K10" s="15" t="s">
        <v>31</v>
      </c>
      <c r="L10" s="15" t="s">
        <v>31</v>
      </c>
      <c r="M10" s="15" t="s">
        <v>31</v>
      </c>
      <c r="N10" s="15"/>
      <c r="O10" s="18"/>
      <c r="P10" s="25" t="b">
        <f>AND(vizsgazok_t[[#This Row],[pótló]]="nem",vizsgazok_t[[#This Row],[javító]]="nem")</f>
        <v>1</v>
      </c>
      <c r="Q10" s="25">
        <f>vizsgazok_t[[#This Row],[Törzslapszám]]</f>
        <v>0</v>
      </c>
      <c r="R10" s="25" t="str">
        <f>TEXT(vizsgazok_t[[#This Row],[Korábbi vizsga időpontja:]],"éééé.hh.nn")</f>
        <v>1900.01.00</v>
      </c>
      <c r="S10" s="25" t="str">
        <f>IF(COUNTIF(vizsgazok_t[[#This Row],[Számvitel]:[Projekt]],"p")&gt;0,"igen","nem")</f>
        <v>nem</v>
      </c>
      <c r="T10" s="27" t="str">
        <f>IF(COUNTIF(vizsgazok_t[[#This Row],[Számvitel]:[Projekt]],"j")&gt;0,"igen","nem")</f>
        <v>nem</v>
      </c>
      <c r="U10" s="25" t="b">
        <f>IF(COUNTIF(vizsgazok_t[[#This Row],[Számvitel]:[Projekt]],"fm*")&gt;0,TRUE,FALSE)</f>
        <v>0</v>
      </c>
      <c r="V10" s="25" t="b">
        <f>OR(vizsgazok_t[[#This Row],[Számvitel]]="j")</f>
        <v>0</v>
      </c>
      <c r="W10" s="25" t="b">
        <f>OR(vizsgazok_t[[#This Row],[Számvitel]]="p")</f>
        <v>0</v>
      </c>
      <c r="X10" s="25" t="b">
        <f>OR(vizsgazok_t[[#This Row],[PKÖE]]="j")</f>
        <v>0</v>
      </c>
      <c r="Y10" s="25" t="b">
        <f>OR(vizsgazok_t[[#This Row],[PKÖE]]="p")</f>
        <v>0</v>
      </c>
      <c r="Z10" s="25" t="b">
        <f>OR(vizsgazok_t[[#This Row],[Projekt]]="j")</f>
        <v>0</v>
      </c>
      <c r="AA10" s="25" t="b">
        <f>OR(vizsgazok_t[[#This Row],[Projekt]]="p")</f>
        <v>0</v>
      </c>
      <c r="AB10" s="25" t="b">
        <f>OR(vizsgazok_t[[#This Row],[Számvitel]]="X",vizsgazok_t[[#This Row],[Számvitel]]="j",vizsgazok_t[[#This Row],[Számvitel]]="p")</f>
        <v>1</v>
      </c>
      <c r="AC10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0" s="25" t="b">
        <f>OR(vizsgazok_t[[#This Row],[PKÖE]]="X",vizsgazok_t[[#This Row],[PKÖE]]="j",vizsgazok_t[[#This Row],[PKÖE]]="p")</f>
        <v>1</v>
      </c>
      <c r="AE10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0" s="25" t="b">
        <f>OR(vizsgazok_t[[#This Row],[első_nap]],vizsgazok_t[[#This Row],[masodik_nap]])</f>
        <v>1</v>
      </c>
      <c r="AG10" s="15">
        <v>9</v>
      </c>
    </row>
    <row r="11" spans="1:38" s="19" customFormat="1" ht="24" customHeight="1" x14ac:dyDescent="0.25">
      <c r="A11" s="15">
        <f t="shared" si="0"/>
        <v>10</v>
      </c>
      <c r="B11" s="28" t="s">
        <v>121</v>
      </c>
      <c r="C11" s="28" t="s">
        <v>121</v>
      </c>
      <c r="D11" s="28" t="s">
        <v>145</v>
      </c>
      <c r="E11" s="29" t="s">
        <v>100</v>
      </c>
      <c r="F11" s="28" t="s">
        <v>121</v>
      </c>
      <c r="G11" s="28" t="s">
        <v>76</v>
      </c>
      <c r="H11" s="28"/>
      <c r="I11" s="28"/>
      <c r="J11" s="29"/>
      <c r="K11" s="15" t="s">
        <v>31</v>
      </c>
      <c r="L11" s="15" t="s">
        <v>31</v>
      </c>
      <c r="M11" s="15" t="s">
        <v>31</v>
      </c>
      <c r="N11" s="15"/>
      <c r="O11" s="18"/>
      <c r="P11" s="25" t="b">
        <f>AND(vizsgazok_t[[#This Row],[pótló]]="nem",vizsgazok_t[[#This Row],[javító]]="nem")</f>
        <v>1</v>
      </c>
      <c r="Q11" s="25">
        <f>vizsgazok_t[[#This Row],[Törzslapszám]]</f>
        <v>0</v>
      </c>
      <c r="R11" s="25" t="str">
        <f>TEXT(vizsgazok_t[[#This Row],[Korábbi vizsga időpontja:]],"éééé.hh.nn")</f>
        <v>1900.01.00</v>
      </c>
      <c r="S11" s="25" t="str">
        <f>IF(COUNTIF(vizsgazok_t[[#This Row],[Számvitel]:[Projekt]],"p")&gt;0,"igen","nem")</f>
        <v>nem</v>
      </c>
      <c r="T11" s="27" t="str">
        <f>IF(COUNTIF(vizsgazok_t[[#This Row],[Számvitel]:[Projekt]],"j")&gt;0,"igen","nem")</f>
        <v>nem</v>
      </c>
      <c r="U11" s="25" t="b">
        <f>IF(COUNTIF(vizsgazok_t[[#This Row],[Számvitel]:[Projekt]],"fm*")&gt;0,TRUE,FALSE)</f>
        <v>0</v>
      </c>
      <c r="V11" s="25" t="b">
        <f>OR(vizsgazok_t[[#This Row],[Számvitel]]="j")</f>
        <v>0</v>
      </c>
      <c r="W11" s="25" t="b">
        <f>OR(vizsgazok_t[[#This Row],[Számvitel]]="p")</f>
        <v>0</v>
      </c>
      <c r="X11" s="25" t="b">
        <f>OR(vizsgazok_t[[#This Row],[PKÖE]]="j")</f>
        <v>0</v>
      </c>
      <c r="Y11" s="25" t="b">
        <f>OR(vizsgazok_t[[#This Row],[PKÖE]]="p")</f>
        <v>0</v>
      </c>
      <c r="Z11" s="25" t="b">
        <f>OR(vizsgazok_t[[#This Row],[Projekt]]="j")</f>
        <v>0</v>
      </c>
      <c r="AA11" s="25" t="b">
        <f>OR(vizsgazok_t[[#This Row],[Projekt]]="p")</f>
        <v>0</v>
      </c>
      <c r="AB11" s="25" t="b">
        <f>OR(vizsgazok_t[[#This Row],[Számvitel]]="X",vizsgazok_t[[#This Row],[Számvitel]]="j",vizsgazok_t[[#This Row],[Számvitel]]="p")</f>
        <v>1</v>
      </c>
      <c r="AC11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1" s="25" t="b">
        <f>OR(vizsgazok_t[[#This Row],[PKÖE]]="X",vizsgazok_t[[#This Row],[PKÖE]]="j",vizsgazok_t[[#This Row],[PKÖE]]="p")</f>
        <v>1</v>
      </c>
      <c r="AE11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1" s="25" t="b">
        <f>OR(vizsgazok_t[[#This Row],[első_nap]],vizsgazok_t[[#This Row],[masodik_nap]])</f>
        <v>1</v>
      </c>
      <c r="AG11" s="15">
        <v>10</v>
      </c>
    </row>
    <row r="12" spans="1:38" s="19" customFormat="1" ht="24" customHeight="1" x14ac:dyDescent="0.25">
      <c r="A12" s="15">
        <f t="shared" si="0"/>
        <v>11</v>
      </c>
      <c r="B12" s="28" t="s">
        <v>122</v>
      </c>
      <c r="C12" s="28" t="s">
        <v>122</v>
      </c>
      <c r="D12" s="28" t="s">
        <v>147</v>
      </c>
      <c r="E12" s="29" t="s">
        <v>82</v>
      </c>
      <c r="F12" s="28" t="s">
        <v>122</v>
      </c>
      <c r="G12" s="28" t="s">
        <v>76</v>
      </c>
      <c r="H12" s="28"/>
      <c r="I12" s="28"/>
      <c r="J12" s="29"/>
      <c r="K12" s="15" t="s">
        <v>31</v>
      </c>
      <c r="L12" s="15" t="s">
        <v>31</v>
      </c>
      <c r="M12" s="15" t="s">
        <v>31</v>
      </c>
      <c r="N12" s="15"/>
      <c r="O12" s="18"/>
      <c r="P12" s="25" t="b">
        <f>AND(vizsgazok_t[[#This Row],[pótló]]="nem",vizsgazok_t[[#This Row],[javító]]="nem")</f>
        <v>1</v>
      </c>
      <c r="Q12" s="25">
        <f>vizsgazok_t[[#This Row],[Törzslapszám]]</f>
        <v>0</v>
      </c>
      <c r="R12" s="25" t="str">
        <f>TEXT(vizsgazok_t[[#This Row],[Korábbi vizsga időpontja:]],"éééé.hh.nn")</f>
        <v>1900.01.00</v>
      </c>
      <c r="S12" s="25" t="str">
        <f>IF(COUNTIF(vizsgazok_t[[#This Row],[Számvitel]:[Projekt]],"p")&gt;0,"igen","nem")</f>
        <v>nem</v>
      </c>
      <c r="T12" s="27" t="str">
        <f>IF(COUNTIF(vizsgazok_t[[#This Row],[Számvitel]:[Projekt]],"j")&gt;0,"igen","nem")</f>
        <v>nem</v>
      </c>
      <c r="U12" s="25" t="b">
        <f>IF(COUNTIF(vizsgazok_t[[#This Row],[Számvitel]:[Projekt]],"fm*")&gt;0,TRUE,FALSE)</f>
        <v>0</v>
      </c>
      <c r="V12" s="25" t="b">
        <f>OR(vizsgazok_t[[#This Row],[Számvitel]]="j")</f>
        <v>0</v>
      </c>
      <c r="W12" s="25" t="b">
        <f>OR(vizsgazok_t[[#This Row],[Számvitel]]="p")</f>
        <v>0</v>
      </c>
      <c r="X12" s="25" t="b">
        <f>OR(vizsgazok_t[[#This Row],[PKÖE]]="j")</f>
        <v>0</v>
      </c>
      <c r="Y12" s="25" t="b">
        <f>OR(vizsgazok_t[[#This Row],[PKÖE]]="p")</f>
        <v>0</v>
      </c>
      <c r="Z12" s="25" t="b">
        <f>OR(vizsgazok_t[[#This Row],[Projekt]]="j")</f>
        <v>0</v>
      </c>
      <c r="AA12" s="25" t="b">
        <f>OR(vizsgazok_t[[#This Row],[Projekt]]="p")</f>
        <v>0</v>
      </c>
      <c r="AB12" s="25" t="b">
        <f>OR(vizsgazok_t[[#This Row],[Számvitel]]="X",vizsgazok_t[[#This Row],[Számvitel]]="j",vizsgazok_t[[#This Row],[Számvitel]]="p")</f>
        <v>1</v>
      </c>
      <c r="AC12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2" s="25" t="b">
        <f>OR(vizsgazok_t[[#This Row],[PKÖE]]="X",vizsgazok_t[[#This Row],[PKÖE]]="j",vizsgazok_t[[#This Row],[PKÖE]]="p")</f>
        <v>1</v>
      </c>
      <c r="AE12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2" s="25" t="b">
        <f>OR(vizsgazok_t[[#This Row],[első_nap]],vizsgazok_t[[#This Row],[masodik_nap]])</f>
        <v>1</v>
      </c>
      <c r="AG12" s="15">
        <v>11</v>
      </c>
    </row>
    <row r="13" spans="1:38" s="19" customFormat="1" ht="24" customHeight="1" x14ac:dyDescent="0.25">
      <c r="A13" s="15">
        <f t="shared" si="0"/>
        <v>12</v>
      </c>
      <c r="B13" s="28" t="s">
        <v>123</v>
      </c>
      <c r="C13" s="28" t="s">
        <v>123</v>
      </c>
      <c r="D13" s="28" t="s">
        <v>143</v>
      </c>
      <c r="E13" s="29" t="s">
        <v>101</v>
      </c>
      <c r="F13" s="28" t="s">
        <v>123</v>
      </c>
      <c r="G13" s="28" t="s">
        <v>76</v>
      </c>
      <c r="H13" s="28"/>
      <c r="I13" s="28"/>
      <c r="J13" s="29"/>
      <c r="K13" s="15" t="s">
        <v>31</v>
      </c>
      <c r="L13" s="15" t="s">
        <v>31</v>
      </c>
      <c r="M13" s="15" t="s">
        <v>31</v>
      </c>
      <c r="N13" s="15"/>
      <c r="O13" s="18"/>
      <c r="P13" s="25" t="b">
        <f>AND(vizsgazok_t[[#This Row],[pótló]]="nem",vizsgazok_t[[#This Row],[javító]]="nem")</f>
        <v>1</v>
      </c>
      <c r="Q13" s="25">
        <f>vizsgazok_t[[#This Row],[Törzslapszám]]</f>
        <v>0</v>
      </c>
      <c r="R13" s="25" t="str">
        <f>TEXT(vizsgazok_t[[#This Row],[Korábbi vizsga időpontja:]],"éééé.hh.nn")</f>
        <v>1900.01.00</v>
      </c>
      <c r="S13" s="25" t="str">
        <f>IF(COUNTIF(vizsgazok_t[[#This Row],[Számvitel]:[Projekt]],"p")&gt;0,"igen","nem")</f>
        <v>nem</v>
      </c>
      <c r="T13" s="27" t="str">
        <f>IF(COUNTIF(vizsgazok_t[[#This Row],[Számvitel]:[Projekt]],"j")&gt;0,"igen","nem")</f>
        <v>nem</v>
      </c>
      <c r="U13" s="25" t="b">
        <f>IF(COUNTIF(vizsgazok_t[[#This Row],[Számvitel]:[Projekt]],"fm*")&gt;0,TRUE,FALSE)</f>
        <v>0</v>
      </c>
      <c r="V13" s="25" t="b">
        <f>OR(vizsgazok_t[[#This Row],[Számvitel]]="j")</f>
        <v>0</v>
      </c>
      <c r="W13" s="25" t="b">
        <f>OR(vizsgazok_t[[#This Row],[Számvitel]]="p")</f>
        <v>0</v>
      </c>
      <c r="X13" s="25" t="b">
        <f>OR(vizsgazok_t[[#This Row],[PKÖE]]="j")</f>
        <v>0</v>
      </c>
      <c r="Y13" s="25" t="b">
        <f>OR(vizsgazok_t[[#This Row],[PKÖE]]="p")</f>
        <v>0</v>
      </c>
      <c r="Z13" s="25" t="b">
        <f>OR(vizsgazok_t[[#This Row],[Projekt]]="j")</f>
        <v>0</v>
      </c>
      <c r="AA13" s="25" t="b">
        <f>OR(vizsgazok_t[[#This Row],[Projekt]]="p")</f>
        <v>0</v>
      </c>
      <c r="AB13" s="25" t="b">
        <f>OR(vizsgazok_t[[#This Row],[Számvitel]]="X",vizsgazok_t[[#This Row],[Számvitel]]="j",vizsgazok_t[[#This Row],[Számvitel]]="p")</f>
        <v>1</v>
      </c>
      <c r="AC13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3" s="25" t="b">
        <f>OR(vizsgazok_t[[#This Row],[PKÖE]]="X",vizsgazok_t[[#This Row],[PKÖE]]="j",vizsgazok_t[[#This Row],[PKÖE]]="p")</f>
        <v>1</v>
      </c>
      <c r="AE13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3" s="25" t="b">
        <f>OR(vizsgazok_t[[#This Row],[első_nap]],vizsgazok_t[[#This Row],[masodik_nap]])</f>
        <v>1</v>
      </c>
      <c r="AG13" s="15">
        <v>12</v>
      </c>
    </row>
    <row r="14" spans="1:38" s="19" customFormat="1" ht="24" customHeight="1" x14ac:dyDescent="0.25">
      <c r="A14" s="15">
        <f t="shared" si="0"/>
        <v>13</v>
      </c>
      <c r="B14" s="28" t="s">
        <v>124</v>
      </c>
      <c r="C14" s="28" t="s">
        <v>124</v>
      </c>
      <c r="D14" s="28" t="s">
        <v>148</v>
      </c>
      <c r="E14" s="29" t="s">
        <v>83</v>
      </c>
      <c r="F14" s="28" t="s">
        <v>124</v>
      </c>
      <c r="G14" s="28" t="s">
        <v>76</v>
      </c>
      <c r="H14" s="28"/>
      <c r="I14" s="28"/>
      <c r="J14" s="29"/>
      <c r="K14" s="15" t="s">
        <v>31</v>
      </c>
      <c r="L14" s="15" t="s">
        <v>31</v>
      </c>
      <c r="M14" s="15" t="s">
        <v>31</v>
      </c>
      <c r="N14" s="15"/>
      <c r="O14" s="18"/>
      <c r="P14" s="25" t="b">
        <f>AND(vizsgazok_t[[#This Row],[pótló]]="nem",vizsgazok_t[[#This Row],[javító]]="nem")</f>
        <v>1</v>
      </c>
      <c r="Q14" s="25">
        <f>vizsgazok_t[[#This Row],[Törzslapszám]]</f>
        <v>0</v>
      </c>
      <c r="R14" s="25" t="str">
        <f>TEXT(vizsgazok_t[[#This Row],[Korábbi vizsga időpontja:]],"éééé.hh.nn")</f>
        <v>1900.01.00</v>
      </c>
      <c r="S14" s="25" t="str">
        <f>IF(COUNTIF(vizsgazok_t[[#This Row],[Számvitel]:[Projekt]],"p")&gt;0,"igen","nem")</f>
        <v>nem</v>
      </c>
      <c r="T14" s="27" t="str">
        <f>IF(COUNTIF(vizsgazok_t[[#This Row],[Számvitel]:[Projekt]],"j")&gt;0,"igen","nem")</f>
        <v>nem</v>
      </c>
      <c r="U14" s="25" t="b">
        <f>IF(COUNTIF(vizsgazok_t[[#This Row],[Számvitel]:[Projekt]],"fm*")&gt;0,TRUE,FALSE)</f>
        <v>0</v>
      </c>
      <c r="V14" s="25" t="b">
        <f>OR(vizsgazok_t[[#This Row],[Számvitel]]="j")</f>
        <v>0</v>
      </c>
      <c r="W14" s="25" t="b">
        <f>OR(vizsgazok_t[[#This Row],[Számvitel]]="p")</f>
        <v>0</v>
      </c>
      <c r="X14" s="25" t="b">
        <f>OR(vizsgazok_t[[#This Row],[PKÖE]]="j")</f>
        <v>0</v>
      </c>
      <c r="Y14" s="25" t="b">
        <f>OR(vizsgazok_t[[#This Row],[PKÖE]]="p")</f>
        <v>0</v>
      </c>
      <c r="Z14" s="25" t="b">
        <f>OR(vizsgazok_t[[#This Row],[Projekt]]="j")</f>
        <v>0</v>
      </c>
      <c r="AA14" s="25" t="b">
        <f>OR(vizsgazok_t[[#This Row],[Projekt]]="p")</f>
        <v>0</v>
      </c>
      <c r="AB14" s="25" t="b">
        <f>OR(vizsgazok_t[[#This Row],[Számvitel]]="X",vizsgazok_t[[#This Row],[Számvitel]]="j",vizsgazok_t[[#This Row],[Számvitel]]="p")</f>
        <v>1</v>
      </c>
      <c r="AC14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4" s="25" t="b">
        <f>OR(vizsgazok_t[[#This Row],[PKÖE]]="X",vizsgazok_t[[#This Row],[PKÖE]]="j",vizsgazok_t[[#This Row],[PKÖE]]="p")</f>
        <v>1</v>
      </c>
      <c r="AE14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4" s="25" t="b">
        <f>OR(vizsgazok_t[[#This Row],[első_nap]],vizsgazok_t[[#This Row],[masodik_nap]])</f>
        <v>1</v>
      </c>
      <c r="AG14" s="15">
        <v>13</v>
      </c>
    </row>
    <row r="15" spans="1:38" s="19" customFormat="1" ht="24" customHeight="1" x14ac:dyDescent="0.25">
      <c r="A15" s="15">
        <f t="shared" si="0"/>
        <v>14</v>
      </c>
      <c r="B15" s="28" t="s">
        <v>125</v>
      </c>
      <c r="C15" s="28" t="s">
        <v>125</v>
      </c>
      <c r="D15" s="28" t="s">
        <v>149</v>
      </c>
      <c r="E15" s="29" t="s">
        <v>84</v>
      </c>
      <c r="F15" s="28" t="s">
        <v>125</v>
      </c>
      <c r="G15" s="28" t="s">
        <v>76</v>
      </c>
      <c r="H15" s="28"/>
      <c r="I15" s="28"/>
      <c r="J15" s="29"/>
      <c r="K15" s="15" t="s">
        <v>31</v>
      </c>
      <c r="L15" s="15" t="s">
        <v>31</v>
      </c>
      <c r="M15" s="15" t="s">
        <v>31</v>
      </c>
      <c r="N15" s="15"/>
      <c r="O15" s="18"/>
      <c r="P15" s="25" t="b">
        <f>AND(vizsgazok_t[[#This Row],[pótló]]="nem",vizsgazok_t[[#This Row],[javító]]="nem")</f>
        <v>1</v>
      </c>
      <c r="Q15" s="25">
        <f>vizsgazok_t[[#This Row],[Törzslapszám]]</f>
        <v>0</v>
      </c>
      <c r="R15" s="25" t="str">
        <f>TEXT(vizsgazok_t[[#This Row],[Korábbi vizsga időpontja:]],"éééé.hh.nn")</f>
        <v>1900.01.00</v>
      </c>
      <c r="S15" s="25" t="str">
        <f>IF(COUNTIF(vizsgazok_t[[#This Row],[Számvitel]:[Projekt]],"p")&gt;0,"igen","nem")</f>
        <v>nem</v>
      </c>
      <c r="T15" s="27" t="str">
        <f>IF(COUNTIF(vizsgazok_t[[#This Row],[Számvitel]:[Projekt]],"j")&gt;0,"igen","nem")</f>
        <v>nem</v>
      </c>
      <c r="U15" s="25" t="b">
        <f>IF(COUNTIF(vizsgazok_t[[#This Row],[Számvitel]:[Projekt]],"fm*")&gt;0,TRUE,FALSE)</f>
        <v>0</v>
      </c>
      <c r="V15" s="25" t="b">
        <f>OR(vizsgazok_t[[#This Row],[Számvitel]]="j")</f>
        <v>0</v>
      </c>
      <c r="W15" s="25" t="b">
        <f>OR(vizsgazok_t[[#This Row],[Számvitel]]="p")</f>
        <v>0</v>
      </c>
      <c r="X15" s="25" t="b">
        <f>OR(vizsgazok_t[[#This Row],[PKÖE]]="j")</f>
        <v>0</v>
      </c>
      <c r="Y15" s="25" t="b">
        <f>OR(vizsgazok_t[[#This Row],[PKÖE]]="p")</f>
        <v>0</v>
      </c>
      <c r="Z15" s="25" t="b">
        <f>OR(vizsgazok_t[[#This Row],[Projekt]]="j")</f>
        <v>0</v>
      </c>
      <c r="AA15" s="25" t="b">
        <f>OR(vizsgazok_t[[#This Row],[Projekt]]="p")</f>
        <v>0</v>
      </c>
      <c r="AB15" s="25" t="b">
        <f>OR(vizsgazok_t[[#This Row],[Számvitel]]="X",vizsgazok_t[[#This Row],[Számvitel]]="j",vizsgazok_t[[#This Row],[Számvitel]]="p")</f>
        <v>1</v>
      </c>
      <c r="AC15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5" s="25" t="b">
        <f>OR(vizsgazok_t[[#This Row],[PKÖE]]="X",vizsgazok_t[[#This Row],[PKÖE]]="j",vizsgazok_t[[#This Row],[PKÖE]]="p")</f>
        <v>1</v>
      </c>
      <c r="AE15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5" s="25" t="b">
        <f>OR(vizsgazok_t[[#This Row],[első_nap]],vizsgazok_t[[#This Row],[masodik_nap]])</f>
        <v>1</v>
      </c>
      <c r="AG15" s="15">
        <v>14</v>
      </c>
    </row>
    <row r="16" spans="1:38" s="19" customFormat="1" ht="24" customHeight="1" x14ac:dyDescent="0.25">
      <c r="A16" s="15">
        <f t="shared" si="0"/>
        <v>15</v>
      </c>
      <c r="B16" s="28" t="s">
        <v>126</v>
      </c>
      <c r="C16" s="28" t="s">
        <v>126</v>
      </c>
      <c r="D16" s="28" t="s">
        <v>148</v>
      </c>
      <c r="E16" s="29" t="s">
        <v>105</v>
      </c>
      <c r="F16" s="28" t="s">
        <v>126</v>
      </c>
      <c r="G16" s="28" t="s">
        <v>76</v>
      </c>
      <c r="H16" s="28"/>
      <c r="I16" s="28"/>
      <c r="J16" s="29"/>
      <c r="K16" s="15" t="s">
        <v>31</v>
      </c>
      <c r="L16" s="15" t="s">
        <v>31</v>
      </c>
      <c r="M16" s="15" t="s">
        <v>31</v>
      </c>
      <c r="N16" s="15"/>
      <c r="O16" s="18"/>
      <c r="P16" s="25" t="b">
        <f>AND(vizsgazok_t[[#This Row],[pótló]]="nem",vizsgazok_t[[#This Row],[javító]]="nem")</f>
        <v>1</v>
      </c>
      <c r="Q16" s="25">
        <f>vizsgazok_t[[#This Row],[Törzslapszám]]</f>
        <v>0</v>
      </c>
      <c r="R16" s="25" t="str">
        <f>TEXT(vizsgazok_t[[#This Row],[Korábbi vizsga időpontja:]],"éééé.hh.nn")</f>
        <v>1900.01.00</v>
      </c>
      <c r="S16" s="25" t="str">
        <f>IF(COUNTIF(vizsgazok_t[[#This Row],[Számvitel]:[Projekt]],"p")&gt;0,"igen","nem")</f>
        <v>nem</v>
      </c>
      <c r="T16" s="27" t="str">
        <f>IF(COUNTIF(vizsgazok_t[[#This Row],[Számvitel]:[Projekt]],"j")&gt;0,"igen","nem")</f>
        <v>nem</v>
      </c>
      <c r="U16" s="25" t="b">
        <f>IF(COUNTIF(vizsgazok_t[[#This Row],[Számvitel]:[Projekt]],"fm*")&gt;0,TRUE,FALSE)</f>
        <v>0</v>
      </c>
      <c r="V16" s="25" t="b">
        <f>OR(vizsgazok_t[[#This Row],[Számvitel]]="j")</f>
        <v>0</v>
      </c>
      <c r="W16" s="25" t="b">
        <f>OR(vizsgazok_t[[#This Row],[Számvitel]]="p")</f>
        <v>0</v>
      </c>
      <c r="X16" s="25" t="b">
        <f>OR(vizsgazok_t[[#This Row],[PKÖE]]="j")</f>
        <v>0</v>
      </c>
      <c r="Y16" s="25" t="b">
        <f>OR(vizsgazok_t[[#This Row],[PKÖE]]="p")</f>
        <v>0</v>
      </c>
      <c r="Z16" s="25" t="b">
        <f>OR(vizsgazok_t[[#This Row],[Projekt]]="j")</f>
        <v>0</v>
      </c>
      <c r="AA16" s="25" t="b">
        <f>OR(vizsgazok_t[[#This Row],[Projekt]]="p")</f>
        <v>0</v>
      </c>
      <c r="AB16" s="25" t="b">
        <f>OR(vizsgazok_t[[#This Row],[Számvitel]]="X",vizsgazok_t[[#This Row],[Számvitel]]="j",vizsgazok_t[[#This Row],[Számvitel]]="p")</f>
        <v>1</v>
      </c>
      <c r="AC16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6" s="25" t="b">
        <f>OR(vizsgazok_t[[#This Row],[PKÖE]]="X",vizsgazok_t[[#This Row],[PKÖE]]="j",vizsgazok_t[[#This Row],[PKÖE]]="p")</f>
        <v>1</v>
      </c>
      <c r="AE16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6" s="25" t="b">
        <f>OR(vizsgazok_t[[#This Row],[első_nap]],vizsgazok_t[[#This Row],[masodik_nap]])</f>
        <v>1</v>
      </c>
      <c r="AG16" s="15">
        <v>15</v>
      </c>
    </row>
    <row r="17" spans="1:38" s="19" customFormat="1" ht="24" customHeight="1" x14ac:dyDescent="0.25">
      <c r="A17" s="15">
        <f t="shared" si="0"/>
        <v>16</v>
      </c>
      <c r="B17" s="28" t="s">
        <v>127</v>
      </c>
      <c r="C17" s="28" t="s">
        <v>127</v>
      </c>
      <c r="D17" s="28" t="s">
        <v>143</v>
      </c>
      <c r="E17" s="29" t="s">
        <v>92</v>
      </c>
      <c r="F17" s="28" t="s">
        <v>127</v>
      </c>
      <c r="G17" s="28" t="s">
        <v>76</v>
      </c>
      <c r="H17" s="28"/>
      <c r="I17" s="28"/>
      <c r="J17" s="29"/>
      <c r="K17" s="15" t="s">
        <v>31</v>
      </c>
      <c r="L17" s="15" t="s">
        <v>31</v>
      </c>
      <c r="M17" s="15" t="s">
        <v>31</v>
      </c>
      <c r="N17" s="15"/>
      <c r="O17" s="18"/>
      <c r="P17" s="25" t="b">
        <f>AND(vizsgazok_t[[#This Row],[pótló]]="nem",vizsgazok_t[[#This Row],[javító]]="nem")</f>
        <v>1</v>
      </c>
      <c r="Q17" s="25">
        <f>vizsgazok_t[[#This Row],[Törzslapszám]]</f>
        <v>0</v>
      </c>
      <c r="R17" s="25" t="str">
        <f>TEXT(vizsgazok_t[[#This Row],[Korábbi vizsga időpontja:]],"éééé.hh.nn")</f>
        <v>1900.01.00</v>
      </c>
      <c r="S17" s="25" t="str">
        <f>IF(COUNTIF(vizsgazok_t[[#This Row],[Számvitel]:[Projekt]],"p")&gt;0,"igen","nem")</f>
        <v>nem</v>
      </c>
      <c r="T17" s="27" t="str">
        <f>IF(COUNTIF(vizsgazok_t[[#This Row],[Számvitel]:[Projekt]],"j")&gt;0,"igen","nem")</f>
        <v>nem</v>
      </c>
      <c r="U17" s="25" t="b">
        <f>IF(COUNTIF(vizsgazok_t[[#This Row],[Számvitel]:[Projekt]],"fm*")&gt;0,TRUE,FALSE)</f>
        <v>0</v>
      </c>
      <c r="V17" s="25" t="b">
        <f>OR(vizsgazok_t[[#This Row],[Számvitel]]="j")</f>
        <v>0</v>
      </c>
      <c r="W17" s="25" t="b">
        <f>OR(vizsgazok_t[[#This Row],[Számvitel]]="p")</f>
        <v>0</v>
      </c>
      <c r="X17" s="25" t="b">
        <f>OR(vizsgazok_t[[#This Row],[PKÖE]]="j")</f>
        <v>0</v>
      </c>
      <c r="Y17" s="25" t="b">
        <f>OR(vizsgazok_t[[#This Row],[PKÖE]]="p")</f>
        <v>0</v>
      </c>
      <c r="Z17" s="25" t="b">
        <f>OR(vizsgazok_t[[#This Row],[Projekt]]="j")</f>
        <v>0</v>
      </c>
      <c r="AA17" s="25" t="b">
        <f>OR(vizsgazok_t[[#This Row],[Projekt]]="p")</f>
        <v>0</v>
      </c>
      <c r="AB17" s="25" t="b">
        <f>OR(vizsgazok_t[[#This Row],[Számvitel]]="X",vizsgazok_t[[#This Row],[Számvitel]]="j",vizsgazok_t[[#This Row],[Számvitel]]="p")</f>
        <v>1</v>
      </c>
      <c r="AC17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7" s="25" t="b">
        <f>OR(vizsgazok_t[[#This Row],[PKÖE]]="X",vizsgazok_t[[#This Row],[PKÖE]]="j",vizsgazok_t[[#This Row],[PKÖE]]="p")</f>
        <v>1</v>
      </c>
      <c r="AE17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7" s="25" t="b">
        <f>OR(vizsgazok_t[[#This Row],[első_nap]],vizsgazok_t[[#This Row],[masodik_nap]])</f>
        <v>1</v>
      </c>
      <c r="AG17" s="15">
        <v>16</v>
      </c>
    </row>
    <row r="18" spans="1:38" s="19" customFormat="1" ht="24" customHeight="1" x14ac:dyDescent="0.25">
      <c r="A18" s="15">
        <f t="shared" si="0"/>
        <v>17</v>
      </c>
      <c r="B18" s="28" t="s">
        <v>128</v>
      </c>
      <c r="C18" s="28" t="s">
        <v>128</v>
      </c>
      <c r="D18" s="28" t="s">
        <v>146</v>
      </c>
      <c r="E18" s="29" t="s">
        <v>106</v>
      </c>
      <c r="F18" s="28" t="s">
        <v>128</v>
      </c>
      <c r="G18" s="28" t="s">
        <v>76</v>
      </c>
      <c r="H18" s="28"/>
      <c r="I18" s="28"/>
      <c r="J18" s="29"/>
      <c r="K18" s="15" t="s">
        <v>31</v>
      </c>
      <c r="L18" s="15" t="s">
        <v>31</v>
      </c>
      <c r="M18" s="15" t="s">
        <v>31</v>
      </c>
      <c r="N18" s="15"/>
      <c r="O18" s="18"/>
      <c r="P18" s="25" t="b">
        <f>AND(vizsgazok_t[[#This Row],[pótló]]="nem",vizsgazok_t[[#This Row],[javító]]="nem")</f>
        <v>1</v>
      </c>
      <c r="Q18" s="25">
        <f>vizsgazok_t[[#This Row],[Törzslapszám]]</f>
        <v>0</v>
      </c>
      <c r="R18" s="25" t="str">
        <f>TEXT(vizsgazok_t[[#This Row],[Korábbi vizsga időpontja:]],"éééé.hh.nn")</f>
        <v>1900.01.00</v>
      </c>
      <c r="S18" s="25" t="str">
        <f>IF(COUNTIF(vizsgazok_t[[#This Row],[Számvitel]:[Projekt]],"p")&gt;0,"igen","nem")</f>
        <v>nem</v>
      </c>
      <c r="T18" s="27" t="str">
        <f>IF(COUNTIF(vizsgazok_t[[#This Row],[Számvitel]:[Projekt]],"j")&gt;0,"igen","nem")</f>
        <v>nem</v>
      </c>
      <c r="U18" s="25" t="b">
        <f>IF(COUNTIF(vizsgazok_t[[#This Row],[Számvitel]:[Projekt]],"fm*")&gt;0,TRUE,FALSE)</f>
        <v>0</v>
      </c>
      <c r="V18" s="25" t="b">
        <f>OR(vizsgazok_t[[#This Row],[Számvitel]]="j")</f>
        <v>0</v>
      </c>
      <c r="W18" s="25" t="b">
        <f>OR(vizsgazok_t[[#This Row],[Számvitel]]="p")</f>
        <v>0</v>
      </c>
      <c r="X18" s="25" t="b">
        <f>OR(vizsgazok_t[[#This Row],[PKÖE]]="j")</f>
        <v>0</v>
      </c>
      <c r="Y18" s="25" t="b">
        <f>OR(vizsgazok_t[[#This Row],[PKÖE]]="p")</f>
        <v>0</v>
      </c>
      <c r="Z18" s="25" t="b">
        <f>OR(vizsgazok_t[[#This Row],[Projekt]]="j")</f>
        <v>0</v>
      </c>
      <c r="AA18" s="25" t="b">
        <f>OR(vizsgazok_t[[#This Row],[Projekt]]="p")</f>
        <v>0</v>
      </c>
      <c r="AB18" s="25" t="b">
        <f>OR(vizsgazok_t[[#This Row],[Számvitel]]="X",vizsgazok_t[[#This Row],[Számvitel]]="j",vizsgazok_t[[#This Row],[Számvitel]]="p")</f>
        <v>1</v>
      </c>
      <c r="AC18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8" s="25" t="b">
        <f>OR(vizsgazok_t[[#This Row],[PKÖE]]="X",vizsgazok_t[[#This Row],[PKÖE]]="j",vizsgazok_t[[#This Row],[PKÖE]]="p")</f>
        <v>1</v>
      </c>
      <c r="AE18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8" s="25" t="b">
        <f>OR(vizsgazok_t[[#This Row],[első_nap]],vizsgazok_t[[#This Row],[masodik_nap]])</f>
        <v>1</v>
      </c>
      <c r="AG18" s="15">
        <v>17</v>
      </c>
    </row>
    <row r="19" spans="1:38" s="19" customFormat="1" ht="24" customHeight="1" x14ac:dyDescent="0.25">
      <c r="A19" s="15">
        <f t="shared" si="0"/>
        <v>18</v>
      </c>
      <c r="B19" s="28" t="s">
        <v>129</v>
      </c>
      <c r="C19" s="28" t="s">
        <v>129</v>
      </c>
      <c r="D19" s="28" t="s">
        <v>143</v>
      </c>
      <c r="E19" s="29" t="s">
        <v>85</v>
      </c>
      <c r="F19" s="28" t="s">
        <v>129</v>
      </c>
      <c r="G19" s="28" t="s">
        <v>76</v>
      </c>
      <c r="H19" s="28"/>
      <c r="I19" s="28"/>
      <c r="J19" s="29"/>
      <c r="K19" s="15" t="s">
        <v>31</v>
      </c>
      <c r="L19" s="15" t="s">
        <v>31</v>
      </c>
      <c r="M19" s="15" t="s">
        <v>31</v>
      </c>
      <c r="N19" s="15"/>
      <c r="O19" s="18"/>
      <c r="P19" s="24" t="b">
        <f>AND(vizsgazok_t[[#This Row],[pótló]]="nem",vizsgazok_t[[#This Row],[javító]]="nem")</f>
        <v>1</v>
      </c>
      <c r="Q19" s="24">
        <f>vizsgazok_t[[#This Row],[Törzslapszám]]</f>
        <v>0</v>
      </c>
      <c r="R19" s="25" t="str">
        <f>TEXT(vizsgazok_t[[#This Row],[Korábbi vizsga időpontja:]],"éééé.hh.nn")</f>
        <v>1900.01.00</v>
      </c>
      <c r="S19" s="24" t="str">
        <f>IF(COUNTIF(vizsgazok_t[[#This Row],[Számvitel]:[Projekt]],"p")&gt;0,"igen","nem")</f>
        <v>nem</v>
      </c>
      <c r="T19" s="26" t="str">
        <f>IF(COUNTIF(vizsgazok_t[[#This Row],[Számvitel]:[Projekt]],"j")&gt;0,"igen","nem")</f>
        <v>nem</v>
      </c>
      <c r="U19" s="24" t="b">
        <f>IF(COUNTIF(vizsgazok_t[[#This Row],[Számvitel]:[Projekt]],"fm*")&gt;0,TRUE,FALSE)</f>
        <v>0</v>
      </c>
      <c r="V19" s="24" t="b">
        <f>OR(vizsgazok_t[[#This Row],[Számvitel]]="j")</f>
        <v>0</v>
      </c>
      <c r="W19" s="24" t="b">
        <f>OR(vizsgazok_t[[#This Row],[Számvitel]]="p")</f>
        <v>0</v>
      </c>
      <c r="X19" s="24" t="b">
        <f>OR(vizsgazok_t[[#This Row],[PKÖE]]="j")</f>
        <v>0</v>
      </c>
      <c r="Y19" s="24" t="b">
        <f>OR(vizsgazok_t[[#This Row],[PKÖE]]="p")</f>
        <v>0</v>
      </c>
      <c r="Z19" s="24" t="b">
        <f>OR(vizsgazok_t[[#This Row],[Projekt]]="j")</f>
        <v>0</v>
      </c>
      <c r="AA19" s="24" t="b">
        <f>OR(vizsgazok_t[[#This Row],[Projekt]]="p")</f>
        <v>0</v>
      </c>
      <c r="AB19" s="24" t="b">
        <f>OR(vizsgazok_t[[#This Row],[Számvitel]]="X",vizsgazok_t[[#This Row],[Számvitel]]="j",vizsgazok_t[[#This Row],[Számvitel]]="p")</f>
        <v>1</v>
      </c>
      <c r="AC19" s="24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19" s="24" t="b">
        <f>OR(vizsgazok_t[[#This Row],[PKÖE]]="X",vizsgazok_t[[#This Row],[PKÖE]]="j",vizsgazok_t[[#This Row],[PKÖE]]="p")</f>
        <v>1</v>
      </c>
      <c r="AE19" s="24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19" s="24" t="b">
        <f>OR(vizsgazok_t[[#This Row],[első_nap]],vizsgazok_t[[#This Row],[masodik_nap]])</f>
        <v>1</v>
      </c>
      <c r="AG19" s="15">
        <v>18</v>
      </c>
    </row>
    <row r="20" spans="1:38" s="19" customFormat="1" ht="24" customHeight="1" x14ac:dyDescent="0.25">
      <c r="A20" s="15">
        <f t="shared" si="0"/>
        <v>19</v>
      </c>
      <c r="B20" s="28" t="s">
        <v>130</v>
      </c>
      <c r="C20" s="28" t="s">
        <v>130</v>
      </c>
      <c r="D20" s="28" t="s">
        <v>150</v>
      </c>
      <c r="E20" s="29" t="s">
        <v>97</v>
      </c>
      <c r="F20" s="28" t="s">
        <v>130</v>
      </c>
      <c r="G20" s="28" t="s">
        <v>76</v>
      </c>
      <c r="H20" s="28"/>
      <c r="I20" s="28"/>
      <c r="J20" s="29"/>
      <c r="K20" s="15" t="s">
        <v>31</v>
      </c>
      <c r="L20" s="15" t="s">
        <v>31</v>
      </c>
      <c r="M20" s="15" t="s">
        <v>31</v>
      </c>
      <c r="N20" s="15"/>
      <c r="O20" s="18"/>
      <c r="P20" s="25" t="b">
        <f>AND(vizsgazok_t[[#This Row],[pótló]]="nem",vizsgazok_t[[#This Row],[javító]]="nem")</f>
        <v>1</v>
      </c>
      <c r="Q20" s="25">
        <f>vizsgazok_t[[#This Row],[Törzslapszám]]</f>
        <v>0</v>
      </c>
      <c r="R20" s="25" t="str">
        <f>TEXT(vizsgazok_t[[#This Row],[Korábbi vizsga időpontja:]],"éééé.hh.nn")</f>
        <v>1900.01.00</v>
      </c>
      <c r="S20" s="25" t="str">
        <f>IF(COUNTIF(vizsgazok_t[[#This Row],[Számvitel]:[Projekt]],"p")&gt;0,"igen","nem")</f>
        <v>nem</v>
      </c>
      <c r="T20" s="27" t="str">
        <f>IF(COUNTIF(vizsgazok_t[[#This Row],[Számvitel]:[Projekt]],"j")&gt;0,"igen","nem")</f>
        <v>nem</v>
      </c>
      <c r="U20" s="25" t="b">
        <f>IF(COUNTIF(vizsgazok_t[[#This Row],[Számvitel]:[Projekt]],"fm*")&gt;0,TRUE,FALSE)</f>
        <v>0</v>
      </c>
      <c r="V20" s="25" t="b">
        <f>OR(vizsgazok_t[[#This Row],[Számvitel]]="j")</f>
        <v>0</v>
      </c>
      <c r="W20" s="25" t="b">
        <f>OR(vizsgazok_t[[#This Row],[Számvitel]]="p")</f>
        <v>0</v>
      </c>
      <c r="X20" s="25" t="b">
        <f>OR(vizsgazok_t[[#This Row],[PKÖE]]="j")</f>
        <v>0</v>
      </c>
      <c r="Y20" s="25" t="b">
        <f>OR(vizsgazok_t[[#This Row],[PKÖE]]="p")</f>
        <v>0</v>
      </c>
      <c r="Z20" s="25" t="b">
        <f>OR(vizsgazok_t[[#This Row],[Projekt]]="j")</f>
        <v>0</v>
      </c>
      <c r="AA20" s="25" t="b">
        <f>OR(vizsgazok_t[[#This Row],[Projekt]]="p")</f>
        <v>0</v>
      </c>
      <c r="AB20" s="25" t="b">
        <f>OR(vizsgazok_t[[#This Row],[Számvitel]]="X",vizsgazok_t[[#This Row],[Számvitel]]="j",vizsgazok_t[[#This Row],[Számvitel]]="p")</f>
        <v>1</v>
      </c>
      <c r="AC20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0" s="25" t="b">
        <f>OR(vizsgazok_t[[#This Row],[PKÖE]]="X",vizsgazok_t[[#This Row],[PKÖE]]="j",vizsgazok_t[[#This Row],[PKÖE]]="p")</f>
        <v>1</v>
      </c>
      <c r="AE20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0" s="25" t="b">
        <f>OR(vizsgazok_t[[#This Row],[első_nap]],vizsgazok_t[[#This Row],[masodik_nap]])</f>
        <v>1</v>
      </c>
      <c r="AG20" s="15">
        <v>19</v>
      </c>
    </row>
    <row r="21" spans="1:38" s="19" customFormat="1" ht="24" customHeight="1" x14ac:dyDescent="0.25">
      <c r="A21" s="15">
        <f t="shared" si="0"/>
        <v>20</v>
      </c>
      <c r="B21" s="28" t="s">
        <v>131</v>
      </c>
      <c r="C21" s="28" t="s">
        <v>131</v>
      </c>
      <c r="D21" s="28" t="s">
        <v>144</v>
      </c>
      <c r="E21" s="29" t="s">
        <v>95</v>
      </c>
      <c r="F21" s="28" t="s">
        <v>131</v>
      </c>
      <c r="G21" s="28" t="s">
        <v>76</v>
      </c>
      <c r="H21" s="28"/>
      <c r="I21" s="28"/>
      <c r="J21" s="29"/>
      <c r="K21" s="15" t="s">
        <v>110</v>
      </c>
      <c r="L21" s="15" t="s">
        <v>110</v>
      </c>
      <c r="M21" s="15" t="s">
        <v>110</v>
      </c>
      <c r="N21" s="15"/>
      <c r="O21" s="18"/>
      <c r="P21" s="25" t="b">
        <f>AND(vizsgazok_t[[#This Row],[pótló]]="nem",vizsgazok_t[[#This Row],[javító]]="nem")</f>
        <v>1</v>
      </c>
      <c r="Q21" s="25">
        <f>vizsgazok_t[[#This Row],[Törzslapszám]]</f>
        <v>0</v>
      </c>
      <c r="R21" s="25" t="str">
        <f>TEXT(vizsgazok_t[[#This Row],[Korábbi vizsga időpontja:]],"éééé.hh.nn")</f>
        <v>1900.01.00</v>
      </c>
      <c r="S21" s="25" t="str">
        <f>IF(COUNTIF(vizsgazok_t[[#This Row],[Számvitel]:[Projekt]],"p")&gt;0,"igen","nem")</f>
        <v>nem</v>
      </c>
      <c r="T21" s="27" t="str">
        <f>IF(COUNTIF(vizsgazok_t[[#This Row],[Számvitel]:[Projekt]],"j")&gt;0,"igen","nem")</f>
        <v>nem</v>
      </c>
      <c r="U21" s="25" t="b">
        <f>IF(COUNTIF(vizsgazok_t[[#This Row],[Számvitel]:[Projekt]],"fm*")&gt;0,TRUE,FALSE)</f>
        <v>1</v>
      </c>
      <c r="V21" s="25" t="b">
        <f>OR(vizsgazok_t[[#This Row],[Számvitel]]="j")</f>
        <v>0</v>
      </c>
      <c r="W21" s="25" t="b">
        <f>OR(vizsgazok_t[[#This Row],[Számvitel]]="p")</f>
        <v>0</v>
      </c>
      <c r="X21" s="25" t="b">
        <f>OR(vizsgazok_t[[#This Row],[PKÖE]]="j")</f>
        <v>0</v>
      </c>
      <c r="Y21" s="25" t="b">
        <f>OR(vizsgazok_t[[#This Row],[PKÖE]]="p")</f>
        <v>0</v>
      </c>
      <c r="Z21" s="25" t="b">
        <f>OR(vizsgazok_t[[#This Row],[Projekt]]="j")</f>
        <v>0</v>
      </c>
      <c r="AA21" s="25" t="b">
        <f>OR(vizsgazok_t[[#This Row],[Projekt]]="p")</f>
        <v>0</v>
      </c>
      <c r="AB21" s="25" t="b">
        <f>OR(vizsgazok_t[[#This Row],[Számvitel]]="X",vizsgazok_t[[#This Row],[Számvitel]]="j",vizsgazok_t[[#This Row],[Számvitel]]="p")</f>
        <v>0</v>
      </c>
      <c r="AC21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1" s="25" t="b">
        <f>OR(vizsgazok_t[[#This Row],[PKÖE]]="X",vizsgazok_t[[#This Row],[PKÖE]]="j",vizsgazok_t[[#This Row],[PKÖE]]="p")</f>
        <v>0</v>
      </c>
      <c r="AE21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1" s="25" t="b">
        <f>OR(vizsgazok_t[[#This Row],[első_nap]],vizsgazok_t[[#This Row],[masodik_nap]])</f>
        <v>0</v>
      </c>
      <c r="AG21" s="15">
        <v>20</v>
      </c>
    </row>
    <row r="22" spans="1:38" s="19" customFormat="1" ht="24" customHeight="1" x14ac:dyDescent="0.25">
      <c r="A22" s="15">
        <f t="shared" si="0"/>
        <v>21</v>
      </c>
      <c r="B22" s="28" t="s">
        <v>132</v>
      </c>
      <c r="C22" s="28" t="s">
        <v>132</v>
      </c>
      <c r="D22" s="28" t="s">
        <v>151</v>
      </c>
      <c r="E22" s="29" t="s">
        <v>102</v>
      </c>
      <c r="F22" s="28" t="s">
        <v>132</v>
      </c>
      <c r="G22" s="28" t="s">
        <v>76</v>
      </c>
      <c r="H22" s="28"/>
      <c r="I22" s="28"/>
      <c r="J22" s="29"/>
      <c r="K22" s="15" t="s">
        <v>31</v>
      </c>
      <c r="L22" s="15" t="s">
        <v>31</v>
      </c>
      <c r="M22" s="15" t="s">
        <v>31</v>
      </c>
      <c r="N22" s="15"/>
      <c r="O22" s="18"/>
      <c r="P22" s="25" t="b">
        <f>AND(vizsgazok_t[[#This Row],[pótló]]="nem",vizsgazok_t[[#This Row],[javító]]="nem")</f>
        <v>1</v>
      </c>
      <c r="Q22" s="25">
        <f>vizsgazok_t[[#This Row],[Törzslapszám]]</f>
        <v>0</v>
      </c>
      <c r="R22" s="25" t="str">
        <f>TEXT(vizsgazok_t[[#This Row],[Korábbi vizsga időpontja:]],"éééé.hh.nn")</f>
        <v>1900.01.00</v>
      </c>
      <c r="S22" s="25" t="str">
        <f>IF(COUNTIF(vizsgazok_t[[#This Row],[Számvitel]:[Projekt]],"p")&gt;0,"igen","nem")</f>
        <v>nem</v>
      </c>
      <c r="T22" s="27" t="str">
        <f>IF(COUNTIF(vizsgazok_t[[#This Row],[Számvitel]:[Projekt]],"j")&gt;0,"igen","nem")</f>
        <v>nem</v>
      </c>
      <c r="U22" s="25" t="b">
        <f>IF(COUNTIF(vizsgazok_t[[#This Row],[Számvitel]:[Projekt]],"fm*")&gt;0,TRUE,FALSE)</f>
        <v>0</v>
      </c>
      <c r="V22" s="25" t="b">
        <f>OR(vizsgazok_t[[#This Row],[Számvitel]]="j")</f>
        <v>0</v>
      </c>
      <c r="W22" s="25" t="b">
        <f>OR(vizsgazok_t[[#This Row],[Számvitel]]="p")</f>
        <v>0</v>
      </c>
      <c r="X22" s="25" t="b">
        <f>OR(vizsgazok_t[[#This Row],[PKÖE]]="j")</f>
        <v>0</v>
      </c>
      <c r="Y22" s="25" t="b">
        <f>OR(vizsgazok_t[[#This Row],[PKÖE]]="p")</f>
        <v>0</v>
      </c>
      <c r="Z22" s="25" t="b">
        <f>OR(vizsgazok_t[[#This Row],[Projekt]]="j")</f>
        <v>0</v>
      </c>
      <c r="AA22" s="25" t="b">
        <f>OR(vizsgazok_t[[#This Row],[Projekt]]="p")</f>
        <v>0</v>
      </c>
      <c r="AB22" s="25" t="b">
        <f>OR(vizsgazok_t[[#This Row],[Számvitel]]="X",vizsgazok_t[[#This Row],[Számvitel]]="j",vizsgazok_t[[#This Row],[Számvitel]]="p")</f>
        <v>1</v>
      </c>
      <c r="AC22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2" s="25" t="b">
        <f>OR(vizsgazok_t[[#This Row],[PKÖE]]="X",vizsgazok_t[[#This Row],[PKÖE]]="j",vizsgazok_t[[#This Row],[PKÖE]]="p")</f>
        <v>1</v>
      </c>
      <c r="AE22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2" s="25" t="b">
        <f>OR(vizsgazok_t[[#This Row],[első_nap]],vizsgazok_t[[#This Row],[masodik_nap]])</f>
        <v>1</v>
      </c>
      <c r="AG22" s="15">
        <v>21</v>
      </c>
    </row>
    <row r="23" spans="1:38" s="19" customFormat="1" ht="24" customHeight="1" x14ac:dyDescent="0.25">
      <c r="A23" s="15">
        <f t="shared" si="0"/>
        <v>22</v>
      </c>
      <c r="B23" s="28" t="s">
        <v>133</v>
      </c>
      <c r="C23" s="28" t="s">
        <v>133</v>
      </c>
      <c r="D23" s="28" t="s">
        <v>147</v>
      </c>
      <c r="E23" s="29" t="s">
        <v>77</v>
      </c>
      <c r="F23" s="28" t="s">
        <v>133</v>
      </c>
      <c r="G23" s="28" t="s">
        <v>76</v>
      </c>
      <c r="H23" s="28"/>
      <c r="I23" s="28"/>
      <c r="J23" s="29"/>
      <c r="K23" s="15" t="s">
        <v>31</v>
      </c>
      <c r="L23" s="15" t="s">
        <v>31</v>
      </c>
      <c r="M23" s="15" t="s">
        <v>31</v>
      </c>
      <c r="N23" s="15"/>
      <c r="O23" s="18"/>
      <c r="P23" s="25" t="b">
        <f>AND(vizsgazok_t[[#This Row],[pótló]]="nem",vizsgazok_t[[#This Row],[javító]]="nem")</f>
        <v>1</v>
      </c>
      <c r="Q23" s="25">
        <f>vizsgazok_t[[#This Row],[Törzslapszám]]</f>
        <v>0</v>
      </c>
      <c r="R23" s="25" t="str">
        <f>TEXT(vizsgazok_t[[#This Row],[Korábbi vizsga időpontja:]],"éééé.hh.nn")</f>
        <v>1900.01.00</v>
      </c>
      <c r="S23" s="25" t="str">
        <f>IF(COUNTIF(vizsgazok_t[[#This Row],[Számvitel]:[Projekt]],"p")&gt;0,"igen","nem")</f>
        <v>nem</v>
      </c>
      <c r="T23" s="27" t="str">
        <f>IF(COUNTIF(vizsgazok_t[[#This Row],[Számvitel]:[Projekt]],"j")&gt;0,"igen","nem")</f>
        <v>nem</v>
      </c>
      <c r="U23" s="25" t="b">
        <f>IF(COUNTIF(vizsgazok_t[[#This Row],[Számvitel]:[Projekt]],"fm*")&gt;0,TRUE,FALSE)</f>
        <v>0</v>
      </c>
      <c r="V23" s="25" t="b">
        <f>OR(vizsgazok_t[[#This Row],[Számvitel]]="j")</f>
        <v>0</v>
      </c>
      <c r="W23" s="25" t="b">
        <f>OR(vizsgazok_t[[#This Row],[Számvitel]]="p")</f>
        <v>0</v>
      </c>
      <c r="X23" s="25" t="b">
        <f>OR(vizsgazok_t[[#This Row],[PKÖE]]="j")</f>
        <v>0</v>
      </c>
      <c r="Y23" s="25" t="b">
        <f>OR(vizsgazok_t[[#This Row],[PKÖE]]="p")</f>
        <v>0</v>
      </c>
      <c r="Z23" s="25" t="b">
        <f>OR(vizsgazok_t[[#This Row],[Projekt]]="j")</f>
        <v>0</v>
      </c>
      <c r="AA23" s="25" t="b">
        <f>OR(vizsgazok_t[[#This Row],[Projekt]]="p")</f>
        <v>0</v>
      </c>
      <c r="AB23" s="25" t="b">
        <f>OR(vizsgazok_t[[#This Row],[Számvitel]]="X",vizsgazok_t[[#This Row],[Számvitel]]="j",vizsgazok_t[[#This Row],[Számvitel]]="p")</f>
        <v>1</v>
      </c>
      <c r="AC23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3" s="25" t="b">
        <f>OR(vizsgazok_t[[#This Row],[PKÖE]]="X",vizsgazok_t[[#This Row],[PKÖE]]="j",vizsgazok_t[[#This Row],[PKÖE]]="p")</f>
        <v>1</v>
      </c>
      <c r="AE23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3" s="25" t="b">
        <f>OR(vizsgazok_t[[#This Row],[első_nap]],vizsgazok_t[[#This Row],[masodik_nap]])</f>
        <v>1</v>
      </c>
      <c r="AG23" s="15">
        <v>22</v>
      </c>
    </row>
    <row r="24" spans="1:38" s="19" customFormat="1" ht="24" customHeight="1" x14ac:dyDescent="0.25">
      <c r="A24" s="15">
        <f t="shared" si="0"/>
        <v>23</v>
      </c>
      <c r="B24" s="28" t="s">
        <v>134</v>
      </c>
      <c r="C24" s="28" t="s">
        <v>134</v>
      </c>
      <c r="D24" s="28" t="s">
        <v>152</v>
      </c>
      <c r="E24" s="29" t="s">
        <v>78</v>
      </c>
      <c r="F24" s="28" t="s">
        <v>134</v>
      </c>
      <c r="G24" s="28" t="s">
        <v>76</v>
      </c>
      <c r="H24" s="28"/>
      <c r="I24" s="28"/>
      <c r="J24" s="29"/>
      <c r="K24" s="15" t="s">
        <v>31</v>
      </c>
      <c r="L24" s="15" t="s">
        <v>31</v>
      </c>
      <c r="M24" s="15" t="s">
        <v>31</v>
      </c>
      <c r="N24" s="15"/>
      <c r="O24" s="18"/>
      <c r="P24" s="25" t="b">
        <f>AND(vizsgazok_t[[#This Row],[pótló]]="nem",vizsgazok_t[[#This Row],[javító]]="nem")</f>
        <v>1</v>
      </c>
      <c r="Q24" s="25">
        <f>vizsgazok_t[[#This Row],[Törzslapszám]]</f>
        <v>0</v>
      </c>
      <c r="R24" s="25" t="str">
        <f>TEXT(vizsgazok_t[[#This Row],[Korábbi vizsga időpontja:]],"éééé.hh.nn")</f>
        <v>1900.01.00</v>
      </c>
      <c r="S24" s="25" t="str">
        <f>IF(COUNTIF(vizsgazok_t[[#This Row],[Számvitel]:[Projekt]],"p")&gt;0,"igen","nem")</f>
        <v>nem</v>
      </c>
      <c r="T24" s="27" t="str">
        <f>IF(COUNTIF(vizsgazok_t[[#This Row],[Számvitel]:[Projekt]],"j")&gt;0,"igen","nem")</f>
        <v>nem</v>
      </c>
      <c r="U24" s="25" t="b">
        <f>IF(COUNTIF(vizsgazok_t[[#This Row],[Számvitel]:[Projekt]],"fm*")&gt;0,TRUE,FALSE)</f>
        <v>0</v>
      </c>
      <c r="V24" s="25" t="b">
        <f>OR(vizsgazok_t[[#This Row],[Számvitel]]="j")</f>
        <v>0</v>
      </c>
      <c r="W24" s="25" t="b">
        <f>OR(vizsgazok_t[[#This Row],[Számvitel]]="p")</f>
        <v>0</v>
      </c>
      <c r="X24" s="25" t="b">
        <f>OR(vizsgazok_t[[#This Row],[PKÖE]]="j")</f>
        <v>0</v>
      </c>
      <c r="Y24" s="25" t="b">
        <f>OR(vizsgazok_t[[#This Row],[PKÖE]]="p")</f>
        <v>0</v>
      </c>
      <c r="Z24" s="25" t="b">
        <f>OR(vizsgazok_t[[#This Row],[Projekt]]="j")</f>
        <v>0</v>
      </c>
      <c r="AA24" s="25" t="b">
        <f>OR(vizsgazok_t[[#This Row],[Projekt]]="p")</f>
        <v>0</v>
      </c>
      <c r="AB24" s="25" t="b">
        <f>OR(vizsgazok_t[[#This Row],[Számvitel]]="X",vizsgazok_t[[#This Row],[Számvitel]]="j",vizsgazok_t[[#This Row],[Számvitel]]="p")</f>
        <v>1</v>
      </c>
      <c r="AC24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4" s="25" t="b">
        <f>OR(vizsgazok_t[[#This Row],[PKÖE]]="X",vizsgazok_t[[#This Row],[PKÖE]]="j",vizsgazok_t[[#This Row],[PKÖE]]="p")</f>
        <v>1</v>
      </c>
      <c r="AE24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4" s="25" t="b">
        <f>OR(vizsgazok_t[[#This Row],[első_nap]],vizsgazok_t[[#This Row],[masodik_nap]])</f>
        <v>1</v>
      </c>
      <c r="AG24" s="15">
        <v>23</v>
      </c>
    </row>
    <row r="25" spans="1:38" s="19" customFormat="1" ht="24" customHeight="1" x14ac:dyDescent="0.25">
      <c r="A25" s="15">
        <f t="shared" si="0"/>
        <v>24</v>
      </c>
      <c r="B25" s="28" t="s">
        <v>135</v>
      </c>
      <c r="C25" s="28" t="s">
        <v>135</v>
      </c>
      <c r="D25" s="28" t="s">
        <v>143</v>
      </c>
      <c r="E25" s="29" t="s">
        <v>86</v>
      </c>
      <c r="F25" s="28" t="s">
        <v>135</v>
      </c>
      <c r="G25" s="28" t="s">
        <v>76</v>
      </c>
      <c r="H25" s="28"/>
      <c r="I25" s="28"/>
      <c r="J25" s="29"/>
      <c r="K25" s="15" t="s">
        <v>31</v>
      </c>
      <c r="L25" s="15" t="s">
        <v>31</v>
      </c>
      <c r="M25" s="15" t="s">
        <v>31</v>
      </c>
      <c r="N25" s="15"/>
      <c r="O25" s="18"/>
      <c r="P25" s="25" t="b">
        <f>AND(vizsgazok_t[[#This Row],[pótló]]="nem",vizsgazok_t[[#This Row],[javító]]="nem")</f>
        <v>1</v>
      </c>
      <c r="Q25" s="25">
        <f>vizsgazok_t[[#This Row],[Törzslapszám]]</f>
        <v>0</v>
      </c>
      <c r="R25" s="25" t="str">
        <f>TEXT(vizsgazok_t[[#This Row],[Korábbi vizsga időpontja:]],"éééé.hh.nn")</f>
        <v>1900.01.00</v>
      </c>
      <c r="S25" s="25" t="str">
        <f>IF(COUNTIF(vizsgazok_t[[#This Row],[Számvitel]:[Projekt]],"p")&gt;0,"igen","nem")</f>
        <v>nem</v>
      </c>
      <c r="T25" s="27" t="str">
        <f>IF(COUNTIF(vizsgazok_t[[#This Row],[Számvitel]:[Projekt]],"j")&gt;0,"igen","nem")</f>
        <v>nem</v>
      </c>
      <c r="U25" s="25" t="b">
        <f>IF(COUNTIF(vizsgazok_t[[#This Row],[Számvitel]:[Projekt]],"fm*")&gt;0,TRUE,FALSE)</f>
        <v>0</v>
      </c>
      <c r="V25" s="25" t="b">
        <f>OR(vizsgazok_t[[#This Row],[Számvitel]]="j")</f>
        <v>0</v>
      </c>
      <c r="W25" s="25" t="b">
        <f>OR(vizsgazok_t[[#This Row],[Számvitel]]="p")</f>
        <v>0</v>
      </c>
      <c r="X25" s="25" t="b">
        <f>OR(vizsgazok_t[[#This Row],[PKÖE]]="j")</f>
        <v>0</v>
      </c>
      <c r="Y25" s="25" t="b">
        <f>OR(vizsgazok_t[[#This Row],[PKÖE]]="p")</f>
        <v>0</v>
      </c>
      <c r="Z25" s="25" t="b">
        <f>OR(vizsgazok_t[[#This Row],[Projekt]]="j")</f>
        <v>0</v>
      </c>
      <c r="AA25" s="25" t="b">
        <f>OR(vizsgazok_t[[#This Row],[Projekt]]="p")</f>
        <v>0</v>
      </c>
      <c r="AB25" s="25" t="b">
        <f>OR(vizsgazok_t[[#This Row],[Számvitel]]="X",vizsgazok_t[[#This Row],[Számvitel]]="j",vizsgazok_t[[#This Row],[Számvitel]]="p")</f>
        <v>1</v>
      </c>
      <c r="AC25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5" s="25" t="b">
        <f>OR(vizsgazok_t[[#This Row],[PKÖE]]="X",vizsgazok_t[[#This Row],[PKÖE]]="j",vizsgazok_t[[#This Row],[PKÖE]]="p")</f>
        <v>1</v>
      </c>
      <c r="AE25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5" s="25" t="b">
        <f>OR(vizsgazok_t[[#This Row],[első_nap]],vizsgazok_t[[#This Row],[masodik_nap]])</f>
        <v>1</v>
      </c>
      <c r="AG25" s="19">
        <v>24</v>
      </c>
      <c r="AK25" s="15"/>
      <c r="AL25" s="15"/>
    </row>
    <row r="26" spans="1:38" s="19" customFormat="1" ht="24" customHeight="1" x14ac:dyDescent="0.25">
      <c r="A26" s="15">
        <f t="shared" si="0"/>
        <v>25</v>
      </c>
      <c r="B26" s="28" t="s">
        <v>136</v>
      </c>
      <c r="C26" s="28" t="s">
        <v>136</v>
      </c>
      <c r="D26" s="28" t="s">
        <v>144</v>
      </c>
      <c r="E26" s="29" t="s">
        <v>87</v>
      </c>
      <c r="F26" s="28" t="s">
        <v>136</v>
      </c>
      <c r="G26" s="28" t="s">
        <v>76</v>
      </c>
      <c r="H26" s="28"/>
      <c r="I26" s="28"/>
      <c r="J26" s="29"/>
      <c r="K26" s="15" t="s">
        <v>31</v>
      </c>
      <c r="L26" s="15" t="s">
        <v>31</v>
      </c>
      <c r="M26" s="15" t="s">
        <v>31</v>
      </c>
      <c r="N26" s="15"/>
      <c r="O26" s="18"/>
      <c r="P26" s="25" t="b">
        <f>AND(vizsgazok_t[[#This Row],[pótló]]="nem",vizsgazok_t[[#This Row],[javító]]="nem")</f>
        <v>1</v>
      </c>
      <c r="Q26" s="25">
        <f>vizsgazok_t[[#This Row],[Törzslapszám]]</f>
        <v>0</v>
      </c>
      <c r="R26" s="25" t="str">
        <f>TEXT(vizsgazok_t[[#This Row],[Korábbi vizsga időpontja:]],"éééé.hh.nn")</f>
        <v>1900.01.00</v>
      </c>
      <c r="S26" s="25" t="str">
        <f>IF(COUNTIF(vizsgazok_t[[#This Row],[Számvitel]:[Projekt]],"p")&gt;0,"igen","nem")</f>
        <v>nem</v>
      </c>
      <c r="T26" s="27" t="str">
        <f>IF(COUNTIF(vizsgazok_t[[#This Row],[Számvitel]:[Projekt]],"j")&gt;0,"igen","nem")</f>
        <v>nem</v>
      </c>
      <c r="U26" s="25" t="b">
        <f>IF(COUNTIF(vizsgazok_t[[#This Row],[Számvitel]:[Projekt]],"fm*")&gt;0,TRUE,FALSE)</f>
        <v>0</v>
      </c>
      <c r="V26" s="25" t="b">
        <f>OR(vizsgazok_t[[#This Row],[Számvitel]]="j")</f>
        <v>0</v>
      </c>
      <c r="W26" s="25" t="b">
        <f>OR(vizsgazok_t[[#This Row],[Számvitel]]="p")</f>
        <v>0</v>
      </c>
      <c r="X26" s="25" t="b">
        <f>OR(vizsgazok_t[[#This Row],[PKÖE]]="j")</f>
        <v>0</v>
      </c>
      <c r="Y26" s="25" t="b">
        <f>OR(vizsgazok_t[[#This Row],[PKÖE]]="p")</f>
        <v>0</v>
      </c>
      <c r="Z26" s="25" t="b">
        <f>OR(vizsgazok_t[[#This Row],[Projekt]]="j")</f>
        <v>0</v>
      </c>
      <c r="AA26" s="25" t="b">
        <f>OR(vizsgazok_t[[#This Row],[Projekt]]="p")</f>
        <v>0</v>
      </c>
      <c r="AB26" s="25" t="b">
        <f>OR(vizsgazok_t[[#This Row],[Számvitel]]="X",vizsgazok_t[[#This Row],[Számvitel]]="j",vizsgazok_t[[#This Row],[Számvitel]]="p")</f>
        <v>1</v>
      </c>
      <c r="AC26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6" s="25" t="b">
        <f>OR(vizsgazok_t[[#This Row],[PKÖE]]="X",vizsgazok_t[[#This Row],[PKÖE]]="j",vizsgazok_t[[#This Row],[PKÖE]]="p")</f>
        <v>1</v>
      </c>
      <c r="AE26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6" s="25" t="b">
        <f>OR(vizsgazok_t[[#This Row],[első_nap]],vizsgazok_t[[#This Row],[masodik_nap]])</f>
        <v>1</v>
      </c>
      <c r="AG26" s="19">
        <v>25</v>
      </c>
      <c r="AK26" s="15"/>
      <c r="AL26" s="15"/>
    </row>
    <row r="27" spans="1:38" s="19" customFormat="1" ht="24" customHeight="1" x14ac:dyDescent="0.25">
      <c r="A27" s="15">
        <f t="shared" si="0"/>
        <v>26</v>
      </c>
      <c r="B27" s="28" t="s">
        <v>137</v>
      </c>
      <c r="C27" s="28" t="s">
        <v>137</v>
      </c>
      <c r="D27" s="28" t="s">
        <v>150</v>
      </c>
      <c r="E27" s="29" t="s">
        <v>94</v>
      </c>
      <c r="F27" s="28" t="s">
        <v>137</v>
      </c>
      <c r="G27" s="28" t="s">
        <v>76</v>
      </c>
      <c r="H27" s="28"/>
      <c r="I27" s="28"/>
      <c r="J27" s="29"/>
      <c r="K27" s="15" t="s">
        <v>31</v>
      </c>
      <c r="L27" s="15" t="s">
        <v>31</v>
      </c>
      <c r="M27" s="15" t="s">
        <v>31</v>
      </c>
      <c r="N27" s="15"/>
      <c r="O27" s="18"/>
      <c r="P27" s="25" t="b">
        <f>AND(vizsgazok_t[[#This Row],[pótló]]="nem",vizsgazok_t[[#This Row],[javító]]="nem")</f>
        <v>1</v>
      </c>
      <c r="Q27" s="25">
        <f>vizsgazok_t[[#This Row],[Törzslapszám]]</f>
        <v>0</v>
      </c>
      <c r="R27" s="25" t="str">
        <f>TEXT(vizsgazok_t[[#This Row],[Korábbi vizsga időpontja:]],"éééé.hh.nn")</f>
        <v>1900.01.00</v>
      </c>
      <c r="S27" s="25" t="str">
        <f>IF(COUNTIF(vizsgazok_t[[#This Row],[Számvitel]:[Projekt]],"p")&gt;0,"igen","nem")</f>
        <v>nem</v>
      </c>
      <c r="T27" s="27" t="str">
        <f>IF(COUNTIF(vizsgazok_t[[#This Row],[Számvitel]:[Projekt]],"j")&gt;0,"igen","nem")</f>
        <v>nem</v>
      </c>
      <c r="U27" s="25" t="b">
        <f>IF(COUNTIF(vizsgazok_t[[#This Row],[Számvitel]:[Projekt]],"fm*")&gt;0,TRUE,FALSE)</f>
        <v>0</v>
      </c>
      <c r="V27" s="25" t="b">
        <f>OR(vizsgazok_t[[#This Row],[Számvitel]]="j")</f>
        <v>0</v>
      </c>
      <c r="W27" s="25" t="b">
        <f>OR(vizsgazok_t[[#This Row],[Számvitel]]="p")</f>
        <v>0</v>
      </c>
      <c r="X27" s="25" t="b">
        <f>OR(vizsgazok_t[[#This Row],[PKÖE]]="j")</f>
        <v>0</v>
      </c>
      <c r="Y27" s="25" t="b">
        <f>OR(vizsgazok_t[[#This Row],[PKÖE]]="p")</f>
        <v>0</v>
      </c>
      <c r="Z27" s="25" t="b">
        <f>OR(vizsgazok_t[[#This Row],[Projekt]]="j")</f>
        <v>0</v>
      </c>
      <c r="AA27" s="25" t="b">
        <f>OR(vizsgazok_t[[#This Row],[Projekt]]="p")</f>
        <v>0</v>
      </c>
      <c r="AB27" s="25" t="b">
        <f>OR(vizsgazok_t[[#This Row],[Számvitel]]="X",vizsgazok_t[[#This Row],[Számvitel]]="j",vizsgazok_t[[#This Row],[Számvitel]]="p")</f>
        <v>1</v>
      </c>
      <c r="AC27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7" s="25" t="b">
        <f>OR(vizsgazok_t[[#This Row],[PKÖE]]="X",vizsgazok_t[[#This Row],[PKÖE]]="j",vizsgazok_t[[#This Row],[PKÖE]]="p")</f>
        <v>1</v>
      </c>
      <c r="AE27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7" s="25" t="b">
        <f>OR(vizsgazok_t[[#This Row],[első_nap]],vizsgazok_t[[#This Row],[masodik_nap]])</f>
        <v>1</v>
      </c>
      <c r="AG27" s="19">
        <v>26</v>
      </c>
      <c r="AK27" s="15"/>
      <c r="AL27" s="15"/>
    </row>
    <row r="28" spans="1:38" s="19" customFormat="1" ht="24" customHeight="1" x14ac:dyDescent="0.25">
      <c r="A28" s="15">
        <f t="shared" si="0"/>
        <v>27</v>
      </c>
      <c r="B28" s="28" t="s">
        <v>138</v>
      </c>
      <c r="C28" s="28" t="s">
        <v>138</v>
      </c>
      <c r="D28" s="28" t="s">
        <v>152</v>
      </c>
      <c r="E28" s="29" t="s">
        <v>88</v>
      </c>
      <c r="F28" s="28" t="s">
        <v>138</v>
      </c>
      <c r="G28" s="28" t="s">
        <v>76</v>
      </c>
      <c r="H28" s="28"/>
      <c r="I28" s="28"/>
      <c r="J28" s="29"/>
      <c r="K28" s="15" t="s">
        <v>31</v>
      </c>
      <c r="L28" s="15" t="s">
        <v>31</v>
      </c>
      <c r="M28" s="15" t="s">
        <v>31</v>
      </c>
      <c r="N28" s="15"/>
      <c r="O28" s="18"/>
      <c r="P28" s="25" t="b">
        <f>AND(vizsgazok_t[[#This Row],[pótló]]="nem",vizsgazok_t[[#This Row],[javító]]="nem")</f>
        <v>1</v>
      </c>
      <c r="Q28" s="25">
        <f>vizsgazok_t[[#This Row],[Törzslapszám]]</f>
        <v>0</v>
      </c>
      <c r="R28" s="25" t="str">
        <f>TEXT(vizsgazok_t[[#This Row],[Korábbi vizsga időpontja:]],"éééé.hh.nn")</f>
        <v>1900.01.00</v>
      </c>
      <c r="S28" s="25" t="str">
        <f>IF(COUNTIF(vizsgazok_t[[#This Row],[Számvitel]:[Projekt]],"p")&gt;0,"igen","nem")</f>
        <v>nem</v>
      </c>
      <c r="T28" s="27" t="str">
        <f>IF(COUNTIF(vizsgazok_t[[#This Row],[Számvitel]:[Projekt]],"j")&gt;0,"igen","nem")</f>
        <v>nem</v>
      </c>
      <c r="U28" s="25" t="b">
        <f>IF(COUNTIF(vizsgazok_t[[#This Row],[Számvitel]:[Projekt]],"fm*")&gt;0,TRUE,FALSE)</f>
        <v>0</v>
      </c>
      <c r="V28" s="25" t="b">
        <f>OR(vizsgazok_t[[#This Row],[Számvitel]]="j")</f>
        <v>0</v>
      </c>
      <c r="W28" s="25" t="b">
        <f>OR(vizsgazok_t[[#This Row],[Számvitel]]="p")</f>
        <v>0</v>
      </c>
      <c r="X28" s="25" t="b">
        <f>OR(vizsgazok_t[[#This Row],[PKÖE]]="j")</f>
        <v>0</v>
      </c>
      <c r="Y28" s="25" t="b">
        <f>OR(vizsgazok_t[[#This Row],[PKÖE]]="p")</f>
        <v>0</v>
      </c>
      <c r="Z28" s="25" t="b">
        <f>OR(vizsgazok_t[[#This Row],[Projekt]]="j")</f>
        <v>0</v>
      </c>
      <c r="AA28" s="25" t="b">
        <f>OR(vizsgazok_t[[#This Row],[Projekt]]="p")</f>
        <v>0</v>
      </c>
      <c r="AB28" s="25" t="b">
        <f>OR(vizsgazok_t[[#This Row],[Számvitel]]="X",vizsgazok_t[[#This Row],[Számvitel]]="j",vizsgazok_t[[#This Row],[Számvitel]]="p")</f>
        <v>1</v>
      </c>
      <c r="AC28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8" s="25" t="b">
        <f>OR(vizsgazok_t[[#This Row],[PKÖE]]="X",vizsgazok_t[[#This Row],[PKÖE]]="j",vizsgazok_t[[#This Row],[PKÖE]]="p")</f>
        <v>1</v>
      </c>
      <c r="AE28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8" s="25" t="b">
        <f>OR(vizsgazok_t[[#This Row],[első_nap]],vizsgazok_t[[#This Row],[masodik_nap]])</f>
        <v>1</v>
      </c>
      <c r="AG28" s="19">
        <v>27</v>
      </c>
      <c r="AK28" s="15"/>
      <c r="AL28" s="15"/>
    </row>
    <row r="29" spans="1:38" s="19" customFormat="1" ht="24" customHeight="1" x14ac:dyDescent="0.25">
      <c r="A29" s="15">
        <f t="shared" si="0"/>
        <v>28</v>
      </c>
      <c r="B29" s="28" t="s">
        <v>139</v>
      </c>
      <c r="C29" s="28" t="s">
        <v>139</v>
      </c>
      <c r="D29" s="28" t="s">
        <v>143</v>
      </c>
      <c r="E29" s="29" t="s">
        <v>93</v>
      </c>
      <c r="F29" s="28" t="s">
        <v>139</v>
      </c>
      <c r="G29" s="28" t="s">
        <v>76</v>
      </c>
      <c r="H29" s="28"/>
      <c r="I29" s="28"/>
      <c r="J29" s="29"/>
      <c r="K29" s="15" t="s">
        <v>31</v>
      </c>
      <c r="L29" s="15" t="s">
        <v>31</v>
      </c>
      <c r="M29" s="15" t="s">
        <v>31</v>
      </c>
      <c r="N29" s="15"/>
      <c r="O29" s="18"/>
      <c r="P29" s="25" t="b">
        <f>AND(vizsgazok_t[[#This Row],[pótló]]="nem",vizsgazok_t[[#This Row],[javító]]="nem")</f>
        <v>1</v>
      </c>
      <c r="Q29" s="25">
        <f>vizsgazok_t[[#This Row],[Törzslapszám]]</f>
        <v>0</v>
      </c>
      <c r="R29" s="25" t="str">
        <f>TEXT(vizsgazok_t[[#This Row],[Korábbi vizsga időpontja:]],"éééé.hh.nn")</f>
        <v>1900.01.00</v>
      </c>
      <c r="S29" s="25" t="str">
        <f>IF(COUNTIF(vizsgazok_t[[#This Row],[Számvitel]:[Projekt]],"p")&gt;0,"igen","nem")</f>
        <v>nem</v>
      </c>
      <c r="T29" s="27" t="str">
        <f>IF(COUNTIF(vizsgazok_t[[#This Row],[Számvitel]:[Projekt]],"j")&gt;0,"igen","nem")</f>
        <v>nem</v>
      </c>
      <c r="U29" s="25" t="b">
        <f>IF(COUNTIF(vizsgazok_t[[#This Row],[Számvitel]:[Projekt]],"fm*")&gt;0,TRUE,FALSE)</f>
        <v>0</v>
      </c>
      <c r="V29" s="25" t="b">
        <f>OR(vizsgazok_t[[#This Row],[Számvitel]]="j")</f>
        <v>0</v>
      </c>
      <c r="W29" s="25" t="b">
        <f>OR(vizsgazok_t[[#This Row],[Számvitel]]="p")</f>
        <v>0</v>
      </c>
      <c r="X29" s="25" t="b">
        <f>OR(vizsgazok_t[[#This Row],[PKÖE]]="j")</f>
        <v>0</v>
      </c>
      <c r="Y29" s="25" t="b">
        <f>OR(vizsgazok_t[[#This Row],[PKÖE]]="p")</f>
        <v>0</v>
      </c>
      <c r="Z29" s="25" t="b">
        <f>OR(vizsgazok_t[[#This Row],[Projekt]]="j")</f>
        <v>0</v>
      </c>
      <c r="AA29" s="25" t="b">
        <f>OR(vizsgazok_t[[#This Row],[Projekt]]="p")</f>
        <v>0</v>
      </c>
      <c r="AB29" s="25" t="b">
        <f>OR(vizsgazok_t[[#This Row],[Számvitel]]="X",vizsgazok_t[[#This Row],[Számvitel]]="j",vizsgazok_t[[#This Row],[Számvitel]]="p")</f>
        <v>1</v>
      </c>
      <c r="AC29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29" s="25" t="b">
        <f>OR(vizsgazok_t[[#This Row],[PKÖE]]="X",vizsgazok_t[[#This Row],[PKÖE]]="j",vizsgazok_t[[#This Row],[PKÖE]]="p")</f>
        <v>1</v>
      </c>
      <c r="AE29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29" s="25" t="b">
        <f>OR(vizsgazok_t[[#This Row],[első_nap]],vizsgazok_t[[#This Row],[masodik_nap]])</f>
        <v>1</v>
      </c>
      <c r="AG29" s="19">
        <v>28</v>
      </c>
      <c r="AK29" s="15"/>
      <c r="AL29" s="15"/>
    </row>
    <row r="30" spans="1:38" s="19" customFormat="1" ht="24" customHeight="1" x14ac:dyDescent="0.25">
      <c r="A30" s="15">
        <f t="shared" si="0"/>
        <v>29</v>
      </c>
      <c r="B30" s="28" t="s">
        <v>140</v>
      </c>
      <c r="C30" s="28" t="s">
        <v>140</v>
      </c>
      <c r="D30" s="28" t="s">
        <v>153</v>
      </c>
      <c r="E30" s="29" t="s">
        <v>89</v>
      </c>
      <c r="F30" s="28" t="s">
        <v>140</v>
      </c>
      <c r="G30" s="28" t="s">
        <v>76</v>
      </c>
      <c r="H30" s="28"/>
      <c r="I30" s="28"/>
      <c r="J30" s="29"/>
      <c r="K30" s="15" t="s">
        <v>31</v>
      </c>
      <c r="L30" s="15" t="s">
        <v>31</v>
      </c>
      <c r="M30" s="15" t="s">
        <v>31</v>
      </c>
      <c r="N30" s="15"/>
      <c r="O30" s="18"/>
      <c r="P30" s="25" t="b">
        <f>AND(vizsgazok_t[[#This Row],[pótló]]="nem",vizsgazok_t[[#This Row],[javító]]="nem")</f>
        <v>1</v>
      </c>
      <c r="Q30" s="25">
        <f>vizsgazok_t[[#This Row],[Törzslapszám]]</f>
        <v>0</v>
      </c>
      <c r="R30" s="25" t="str">
        <f>TEXT(vizsgazok_t[[#This Row],[Korábbi vizsga időpontja:]],"éééé.hh.nn")</f>
        <v>1900.01.00</v>
      </c>
      <c r="S30" s="25" t="str">
        <f>IF(COUNTIF(vizsgazok_t[[#This Row],[Számvitel]:[Projekt]],"p")&gt;0,"igen","nem")</f>
        <v>nem</v>
      </c>
      <c r="T30" s="27" t="str">
        <f>IF(COUNTIF(vizsgazok_t[[#This Row],[Számvitel]:[Projekt]],"j")&gt;0,"igen","nem")</f>
        <v>nem</v>
      </c>
      <c r="U30" s="25" t="b">
        <f>IF(COUNTIF(vizsgazok_t[[#This Row],[Számvitel]:[Projekt]],"fm*")&gt;0,TRUE,FALSE)</f>
        <v>0</v>
      </c>
      <c r="V30" s="25" t="b">
        <f>OR(vizsgazok_t[[#This Row],[Számvitel]]="j")</f>
        <v>0</v>
      </c>
      <c r="W30" s="25" t="b">
        <f>OR(vizsgazok_t[[#This Row],[Számvitel]]="p")</f>
        <v>0</v>
      </c>
      <c r="X30" s="25" t="b">
        <f>OR(vizsgazok_t[[#This Row],[PKÖE]]="j")</f>
        <v>0</v>
      </c>
      <c r="Y30" s="25" t="b">
        <f>OR(vizsgazok_t[[#This Row],[PKÖE]]="p")</f>
        <v>0</v>
      </c>
      <c r="Z30" s="25" t="b">
        <f>OR(vizsgazok_t[[#This Row],[Projekt]]="j")</f>
        <v>0</v>
      </c>
      <c r="AA30" s="25" t="b">
        <f>OR(vizsgazok_t[[#This Row],[Projekt]]="p")</f>
        <v>0</v>
      </c>
      <c r="AB30" s="25" t="b">
        <f>OR(vizsgazok_t[[#This Row],[Számvitel]]="X",vizsgazok_t[[#This Row],[Számvitel]]="j",vizsgazok_t[[#This Row],[Számvitel]]="p")</f>
        <v>1</v>
      </c>
      <c r="AC30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30" s="25" t="b">
        <f>OR(vizsgazok_t[[#This Row],[PKÖE]]="X",vizsgazok_t[[#This Row],[PKÖE]]="j",vizsgazok_t[[#This Row],[PKÖE]]="p")</f>
        <v>1</v>
      </c>
      <c r="AE30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30" s="25" t="b">
        <f>OR(vizsgazok_t[[#This Row],[első_nap]],vizsgazok_t[[#This Row],[masodik_nap]])</f>
        <v>1</v>
      </c>
      <c r="AG30" s="19">
        <v>29</v>
      </c>
      <c r="AK30" s="15"/>
      <c r="AL30" s="15"/>
    </row>
    <row r="31" spans="1:38" s="19" customFormat="1" ht="24" customHeight="1" x14ac:dyDescent="0.25">
      <c r="A31" s="15">
        <f t="shared" si="0"/>
        <v>30</v>
      </c>
      <c r="B31" s="28" t="s">
        <v>141</v>
      </c>
      <c r="C31" s="28" t="s">
        <v>141</v>
      </c>
      <c r="D31" s="28" t="s">
        <v>153</v>
      </c>
      <c r="E31" s="29" t="s">
        <v>90</v>
      </c>
      <c r="F31" s="28" t="s">
        <v>141</v>
      </c>
      <c r="G31" s="28" t="s">
        <v>76</v>
      </c>
      <c r="H31" s="28"/>
      <c r="I31" s="28"/>
      <c r="J31" s="29"/>
      <c r="K31" s="15" t="s">
        <v>31</v>
      </c>
      <c r="L31" s="15" t="s">
        <v>31</v>
      </c>
      <c r="M31" s="15" t="s">
        <v>31</v>
      </c>
      <c r="N31" s="15"/>
      <c r="O31" s="18"/>
      <c r="P31" s="25" t="b">
        <f>AND(vizsgazok_t[[#This Row],[pótló]]="nem",vizsgazok_t[[#This Row],[javító]]="nem")</f>
        <v>1</v>
      </c>
      <c r="Q31" s="25">
        <f>vizsgazok_t[[#This Row],[Törzslapszám]]</f>
        <v>0</v>
      </c>
      <c r="R31" s="25" t="str">
        <f>TEXT(vizsgazok_t[[#This Row],[Korábbi vizsga időpontja:]],"éééé.hh.nn")</f>
        <v>1900.01.00</v>
      </c>
      <c r="S31" s="25" t="str">
        <f>IF(COUNTIF(vizsgazok_t[[#This Row],[Számvitel]:[Projekt]],"p")&gt;0,"igen","nem")</f>
        <v>nem</v>
      </c>
      <c r="T31" s="27" t="str">
        <f>IF(COUNTIF(vizsgazok_t[[#This Row],[Számvitel]:[Projekt]],"j")&gt;0,"igen","nem")</f>
        <v>nem</v>
      </c>
      <c r="U31" s="25" t="b">
        <f>IF(COUNTIF(vizsgazok_t[[#This Row],[Számvitel]:[Projekt]],"fm*")&gt;0,TRUE,FALSE)</f>
        <v>0</v>
      </c>
      <c r="V31" s="25" t="b">
        <f>OR(vizsgazok_t[[#This Row],[Számvitel]]="j")</f>
        <v>0</v>
      </c>
      <c r="W31" s="25" t="b">
        <f>OR(vizsgazok_t[[#This Row],[Számvitel]]="p")</f>
        <v>0</v>
      </c>
      <c r="X31" s="25" t="b">
        <f>OR(vizsgazok_t[[#This Row],[PKÖE]]="j")</f>
        <v>0</v>
      </c>
      <c r="Y31" s="25" t="b">
        <f>OR(vizsgazok_t[[#This Row],[PKÖE]]="p")</f>
        <v>0</v>
      </c>
      <c r="Z31" s="25" t="b">
        <f>OR(vizsgazok_t[[#This Row],[Projekt]]="j")</f>
        <v>0</v>
      </c>
      <c r="AA31" s="25" t="b">
        <f>OR(vizsgazok_t[[#This Row],[Projekt]]="p")</f>
        <v>0</v>
      </c>
      <c r="AB31" s="25" t="b">
        <f>OR(vizsgazok_t[[#This Row],[Számvitel]]="X",vizsgazok_t[[#This Row],[Számvitel]]="j",vizsgazok_t[[#This Row],[Számvitel]]="p")</f>
        <v>1</v>
      </c>
      <c r="AC31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31" s="25" t="b">
        <f>OR(vizsgazok_t[[#This Row],[PKÖE]]="X",vizsgazok_t[[#This Row],[PKÖE]]="j",vizsgazok_t[[#This Row],[PKÖE]]="p")</f>
        <v>1</v>
      </c>
      <c r="AE31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31" s="25" t="b">
        <f>OR(vizsgazok_t[[#This Row],[első_nap]],vizsgazok_t[[#This Row],[masodik_nap]])</f>
        <v>1</v>
      </c>
      <c r="AG31" s="19">
        <v>30</v>
      </c>
      <c r="AK31" s="15"/>
      <c r="AL31" s="15"/>
    </row>
    <row r="32" spans="1:38" s="19" customFormat="1" ht="24" customHeight="1" x14ac:dyDescent="0.25">
      <c r="A32" s="15">
        <f t="shared" si="0"/>
        <v>31</v>
      </c>
      <c r="B32" s="28" t="s">
        <v>142</v>
      </c>
      <c r="C32" s="28" t="s">
        <v>142</v>
      </c>
      <c r="D32" s="28" t="s">
        <v>150</v>
      </c>
      <c r="E32" s="29" t="s">
        <v>91</v>
      </c>
      <c r="F32" s="28" t="s">
        <v>142</v>
      </c>
      <c r="G32" s="28" t="s">
        <v>76</v>
      </c>
      <c r="H32" s="28"/>
      <c r="I32" s="28"/>
      <c r="J32" s="29"/>
      <c r="K32" s="15" t="s">
        <v>31</v>
      </c>
      <c r="L32" s="15" t="s">
        <v>31</v>
      </c>
      <c r="M32" s="15" t="s">
        <v>31</v>
      </c>
      <c r="N32" s="15"/>
      <c r="O32" s="18"/>
      <c r="P32" s="25" t="b">
        <f>AND(vizsgazok_t[[#This Row],[pótló]]="nem",vizsgazok_t[[#This Row],[javító]]="nem")</f>
        <v>1</v>
      </c>
      <c r="Q32" s="25">
        <f>vizsgazok_t[[#This Row],[Törzslapszám]]</f>
        <v>0</v>
      </c>
      <c r="R32" s="25" t="str">
        <f>TEXT(vizsgazok_t[[#This Row],[Korábbi vizsga időpontja:]],"éééé.hh.nn")</f>
        <v>1900.01.00</v>
      </c>
      <c r="S32" s="25" t="str">
        <f>IF(COUNTIF(vizsgazok_t[[#This Row],[Számvitel]:[Projekt]],"p")&gt;0,"igen","nem")</f>
        <v>nem</v>
      </c>
      <c r="T32" s="27" t="str">
        <f>IF(COUNTIF(vizsgazok_t[[#This Row],[Számvitel]:[Projekt]],"j")&gt;0,"igen","nem")</f>
        <v>nem</v>
      </c>
      <c r="U32" s="25" t="b">
        <f>IF(COUNTIF(vizsgazok_t[[#This Row],[Számvitel]:[Projekt]],"fm*")&gt;0,TRUE,FALSE)</f>
        <v>0</v>
      </c>
      <c r="V32" s="25" t="b">
        <f>OR(vizsgazok_t[[#This Row],[Számvitel]]="j")</f>
        <v>0</v>
      </c>
      <c r="W32" s="25" t="b">
        <f>OR(vizsgazok_t[[#This Row],[Számvitel]]="p")</f>
        <v>0</v>
      </c>
      <c r="X32" s="25" t="b">
        <f>OR(vizsgazok_t[[#This Row],[PKÖE]]="j")</f>
        <v>0</v>
      </c>
      <c r="Y32" s="25" t="b">
        <f>OR(vizsgazok_t[[#This Row],[PKÖE]]="p")</f>
        <v>0</v>
      </c>
      <c r="Z32" s="25" t="b">
        <f>OR(vizsgazok_t[[#This Row],[Projekt]]="j")</f>
        <v>0</v>
      </c>
      <c r="AA32" s="25" t="b">
        <f>OR(vizsgazok_t[[#This Row],[Projekt]]="p")</f>
        <v>0</v>
      </c>
      <c r="AB32" s="25" t="b">
        <f>OR(vizsgazok_t[[#This Row],[Számvitel]]="X",vizsgazok_t[[#This Row],[Számvitel]]="j",vizsgazok_t[[#This Row],[Számvitel]]="p")</f>
        <v>1</v>
      </c>
      <c r="AC32" s="25" t="str">
        <f>IF(ISNUMBER(vizsgazok_t[[#This Row],[PKÖE]]),"A szóbeli vizsgatevékenység csak akkor kezdhető meg, ha a Pénzügyi számvitel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D32" s="25" t="b">
        <f>OR(vizsgazok_t[[#This Row],[PKÖE]]="X",vizsgazok_t[[#This Row],[PKÖE]]="j",vizsgazok_t[[#This Row],[PKÖE]]="p")</f>
        <v>1</v>
      </c>
      <c r="AE32" s="25" t="str">
        <f>IF(ISNUMBER(vizsgazok_t[[#This Row],[Számvitel]]),"A szóbeli vizsgatevékenység csak akkor kezdhető meg, ha a Pénzügyi kimutatások összeállítása, elemzése és ellenőrzése írásbeli vizsgatevékenység vizsgafeladatát Ön legalább 60%-os szinten teljesítette.","A szóbeli vizsgatevékenység csak akkor kezdhető meg, ha a két írásbeli vizsgatevékenység vizsgafeladatait Ön külön-külön legalább 60%-os szinten teljesítette.")</f>
        <v>A szóbeli vizsgatevékenység csak akkor kezdhető meg, ha a két írásbeli vizsgatevékenység vizsgafeladatait Ön külön-külön legalább 60%-os szinten teljesítette.</v>
      </c>
      <c r="AF32" s="25" t="b">
        <f>OR(vizsgazok_t[[#This Row],[első_nap]],vizsgazok_t[[#This Row],[masodik_nap]])</f>
        <v>1</v>
      </c>
      <c r="AG32" s="19">
        <v>31</v>
      </c>
      <c r="AK32" s="15"/>
      <c r="AL32" s="15"/>
    </row>
    <row r="33" spans="1:38" s="19" customFormat="1" ht="24" customHeight="1" x14ac:dyDescent="0.25">
      <c r="A33" s="15"/>
      <c r="B33" s="20"/>
      <c r="AK33" s="15"/>
      <c r="AL33" s="15"/>
    </row>
    <row r="34" spans="1:38" s="19" customFormat="1" ht="24" customHeight="1" x14ac:dyDescent="0.25">
      <c r="A34" s="15"/>
      <c r="B34" s="20"/>
      <c r="AK34" s="15"/>
      <c r="AL34" s="15"/>
    </row>
    <row r="35" spans="1:38" s="19" customFormat="1" ht="24" customHeight="1" x14ac:dyDescent="0.25">
      <c r="A35" s="15"/>
      <c r="B35" s="20"/>
      <c r="AK35" s="15"/>
      <c r="AL35" s="15"/>
    </row>
    <row r="36" spans="1:38" s="19" customFormat="1" ht="24" customHeight="1" x14ac:dyDescent="0.25">
      <c r="A36" s="15"/>
      <c r="B36" s="20"/>
      <c r="AK36" s="15"/>
      <c r="AL36" s="15"/>
    </row>
    <row r="37" spans="1:38" s="19" customFormat="1" ht="24" customHeight="1" x14ac:dyDescent="0.25">
      <c r="A37" s="15"/>
      <c r="B37" s="20"/>
      <c r="AK37" s="15"/>
      <c r="AL37" s="15"/>
    </row>
    <row r="38" spans="1:38" s="19" customFormat="1" ht="24" customHeight="1" x14ac:dyDescent="0.25">
      <c r="A38" s="15"/>
      <c r="B38" s="20"/>
      <c r="AK38" s="15"/>
      <c r="AL38" s="15"/>
    </row>
    <row r="39" spans="1:38" x14ac:dyDescent="0.25"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8" x14ac:dyDescent="0.25"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8" x14ac:dyDescent="0.25"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8" x14ac:dyDescent="0.25">
      <c r="B42" s="2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8" x14ac:dyDescent="0.25"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8" x14ac:dyDescent="0.25">
      <c r="B44" s="2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8" x14ac:dyDescent="0.25"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8" x14ac:dyDescent="0.25"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1:38" x14ac:dyDescent="0.25"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</row>
  </sheetData>
  <phoneticPr fontId="10" type="noConversion"/>
  <conditionalFormatting sqref="A2:A32">
    <cfRule type="cellIs" dxfId="28" priority="1" operator="greaterThan">
      <formula>0</formula>
    </cfRule>
  </conditionalFormatting>
  <conditionalFormatting sqref="N2:O32 R2:R32">
    <cfRule type="expression" dxfId="27" priority="4">
      <formula>AND(OR(COUNTIF($K2:$M2,"j")&gt;0,COUNTIF($K2:$M2,"fm*")&gt;0,COUNTIF($K2:$M2,"p")&gt;0),ISBLANK(N2))</formula>
    </cfRule>
  </conditionalFormatting>
  <conditionalFormatting sqref="AG2:AG24">
    <cfRule type="cellIs" dxfId="26" priority="2" operator="greaterThan">
      <formula>0</formula>
    </cfRule>
  </conditionalFormatting>
  <dataValidations xWindow="1358" yWindow="420" count="1">
    <dataValidation allowBlank="1" showInputMessage="1" showErrorMessage="1" prompt="Ha első vizsgás, akkor X, ha javító, akkor J, ha pótló, akkor P, felmentett akkor FM " sqref="K2:M38" xr:uid="{AB3EB791-63CE-48AE-90B1-8BECAF895DE9}"/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2"/>
  <sheetViews>
    <sheetView tabSelected="1" zoomScale="70" zoomScaleNormal="70" workbookViewId="0">
      <selection activeCell="A2" sqref="A2"/>
    </sheetView>
  </sheetViews>
  <sheetFormatPr defaultRowHeight="15.75" x14ac:dyDescent="0.25"/>
  <cols>
    <col min="1" max="1" width="5.375" style="4" customWidth="1"/>
    <col min="2" max="2" width="35.875" style="5" customWidth="1"/>
    <col min="3" max="3" width="17.25" style="2" customWidth="1"/>
    <col min="4" max="6" width="10.875" style="3" customWidth="1"/>
    <col min="7" max="9" width="13.5" style="3" customWidth="1"/>
    <col min="10" max="10" width="9.375" style="3" customWidth="1"/>
    <col min="11" max="11" width="23" customWidth="1"/>
    <col min="12" max="12" width="18.75" customWidth="1"/>
    <col min="13" max="13" width="21.25" hidden="1" customWidth="1"/>
    <col min="14" max="22" width="21.75" customWidth="1"/>
    <col min="23" max="45" width="21.75" style="3" customWidth="1"/>
    <col min="46" max="46" width="9" style="3" customWidth="1"/>
    <col min="47" max="16384" width="9" style="3"/>
  </cols>
  <sheetData>
    <row r="1" spans="1:45" s="13" customFormat="1" ht="51.75" customHeight="1" x14ac:dyDescent="0.25">
      <c r="A1" s="12" t="s">
        <v>10</v>
      </c>
      <c r="B1" s="12" t="s">
        <v>1</v>
      </c>
      <c r="C1" s="12" t="s">
        <v>11</v>
      </c>
      <c r="D1" s="12" t="s">
        <v>35</v>
      </c>
      <c r="E1" s="12" t="s">
        <v>36</v>
      </c>
      <c r="F1" s="12" t="s">
        <v>12</v>
      </c>
      <c r="G1" s="12" t="s">
        <v>37</v>
      </c>
      <c r="H1" s="12" t="s">
        <v>38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54</v>
      </c>
      <c r="N1" s="12" t="s">
        <v>17</v>
      </c>
      <c r="O1" s="12" t="s">
        <v>61</v>
      </c>
      <c r="P1" s="12" t="s">
        <v>62</v>
      </c>
      <c r="Q1" s="12" t="s">
        <v>67</v>
      </c>
      <c r="R1" s="12" t="s">
        <v>73</v>
      </c>
      <c r="S1" s="12" t="s">
        <v>68</v>
      </c>
      <c r="T1" s="12" t="s">
        <v>74</v>
      </c>
      <c r="U1" s="12" t="s">
        <v>69</v>
      </c>
      <c r="V1" s="12" t="s">
        <v>72</v>
      </c>
      <c r="W1" s="12" t="s">
        <v>18</v>
      </c>
      <c r="X1" s="12" t="s">
        <v>19</v>
      </c>
      <c r="Y1" s="12" t="s">
        <v>20</v>
      </c>
      <c r="Z1" s="12" t="s">
        <v>63</v>
      </c>
      <c r="AA1" s="12" t="s">
        <v>21</v>
      </c>
      <c r="AB1" s="12" t="s">
        <v>22</v>
      </c>
      <c r="AC1" s="12" t="s">
        <v>40</v>
      </c>
      <c r="AD1" s="12" t="s">
        <v>44</v>
      </c>
      <c r="AE1" s="12" t="s">
        <v>45</v>
      </c>
      <c r="AF1" s="12" t="s">
        <v>41</v>
      </c>
      <c r="AG1" s="12" t="s">
        <v>46</v>
      </c>
      <c r="AH1" s="12" t="s">
        <v>47</v>
      </c>
      <c r="AI1" s="12" t="s">
        <v>23</v>
      </c>
      <c r="AJ1" s="12" t="s">
        <v>48</v>
      </c>
      <c r="AK1" s="12" t="s">
        <v>49</v>
      </c>
      <c r="AL1" s="12" t="s">
        <v>52</v>
      </c>
      <c r="AM1" s="12" t="s">
        <v>24</v>
      </c>
      <c r="AN1" s="12" t="s">
        <v>25</v>
      </c>
      <c r="AO1" s="12" t="s">
        <v>26</v>
      </c>
      <c r="AP1" s="12" t="s">
        <v>64</v>
      </c>
      <c r="AQ1" s="12" t="s">
        <v>65</v>
      </c>
      <c r="AR1" s="12" t="s">
        <v>66</v>
      </c>
      <c r="AS1" s="12" t="s">
        <v>27</v>
      </c>
    </row>
    <row r="2" spans="1:45" s="8" customFormat="1" ht="27.75" customHeight="1" x14ac:dyDescent="0.25">
      <c r="A2" s="1" cm="1">
        <f t="array" ref="A2:A32">_xlfn.ANCHORARRAY(vizsgazók!AG2)</f>
        <v>1</v>
      </c>
      <c r="B2" s="10" t="str" cm="1">
        <f t="array" ref="B2:B32">_xlfn._xlws.FILTER(Név,Név&lt;&gt;"","")</f>
        <v>Emily Davis</v>
      </c>
      <c r="C2" s="7" t="str" cm="1">
        <f t="array" ref="C2:C32">_xlfn._xlws.FILTER(Születési_idő,Név&lt;&gt;"","")</f>
        <v>1999.09.11.</v>
      </c>
      <c r="D2" s="1" t="str" cm="1">
        <f t="array" ref="D2:D32">IF(ISNUMBER(_xlfn.XLOOKUP(_xlfn.ANCHORARRAY(A2),iD,szamvitel)),"-",IF(LEFT(_xlfn.XLOOKUP(_xlfn.ANCHORARRAY(A2),iD,szamvitel),2)="fm","FM","O"))</f>
        <v>O</v>
      </c>
      <c r="E2" s="1" t="str" cm="1">
        <f t="array" ref="E2:E32">IF(ISNUMBER(_xlfn.XLOOKUP(_xlfn.ANCHORARRAY(A2),iD,PKÖE)),"-",IF(LEFT(_xlfn.XLOOKUP(_xlfn.ANCHORARRAY(A2),iD,PKÖE),2)="fm","FM","O"))</f>
        <v>O</v>
      </c>
      <c r="F2" s="1" t="str" cm="1">
        <f t="array" ref="F2:F32">IF(ISNUMBER(_xlfn.XLOOKUP(_xlfn.ANCHORARRAY(A2),iD,Szóbeli)),"-",IF(LEFT(_xlfn.XLOOKUP(_xlfn.ANCHORARRAY(A2),iD,Szóbeli),2)="fm","FM",IF(INDEX($N$2:$N$41,_xlfn.ANCHORARRAY(A2),1)="igen","O","BNT")))</f>
        <v>O</v>
      </c>
      <c r="G2" s="14">
        <v>76</v>
      </c>
      <c r="H2" s="14">
        <v>97</v>
      </c>
      <c r="I2" s="14">
        <v>98</v>
      </c>
      <c r="J2" s="15"/>
      <c r="K2" s="15">
        <v>98</v>
      </c>
      <c r="L2" s="1" t="str" cm="1">
        <f t="array" ref="L2:L32">_xlfn.LET(
_xlpm.a,INDEX($I$2:$I$41,_xlfn.ANCHORARRAY(A2),1),
_xlpm.b,INDEX($F$2:$F$41,_xlfn.ANCHORARRAY(A2),1),
IF(ISNUMBER(_xlpm.a),IF(_xlpm.a&gt;59,"igen","nem"),IF(_xlpm.b="FM","igen","nem")))</f>
        <v>igen</v>
      </c>
      <c r="M2" s="1" cm="1">
        <f t="array" ref="M2:M32">IF(ISBLANK(INDEX($K$2:$K$41,_xlfn.ANCHORARRAY(A2),1)),"",INDEX($K$2:$K$41,_xlfn.ANCHORARRAY(A2),1))</f>
        <v>98</v>
      </c>
      <c r="N2" s="1" t="str" cm="1">
        <f t="array" ref="N2:N32">IF(_xlfn.ANCHORARRAY(O2)="igen",IF(_xlfn.ANCHORARRAY(P2)="igen","igen","nem"),"nem")</f>
        <v>igen</v>
      </c>
      <c r="O2" s="1" t="str" cm="1">
        <f t="array" ref="O2:O32">IF(INDEX($D$2:$D$41,_xlfn.ANCHORARRAY(A2),1)="-","igen",IF(_xlfn.ANCHORARRAY(Q2)="MF","igen","nem"))</f>
        <v>igen</v>
      </c>
      <c r="P2" s="1" t="str" cm="1">
        <f t="array" ref="P2:P32">IF(INDEX($E$2:$E$41,_xlfn.ANCHORARRAY(A2),1)="-","igen",IF(_xlfn.ANCHORARRAY(S2)="MF","igen","nem"))</f>
        <v>igen</v>
      </c>
      <c r="Q2" s="1" t="str" cm="1">
        <f t="array" ref="Q2:Q32">_xlfn.LET(
_xlpm.szamvitel_ered,INDEX($G$2:$G$41,_xlfn.ANCHORARRAY(A2),1),
IF(_xlfn.ANCHORARRAY(D2)="-","-",IF(ISBLANK(_xlpm.szamvitel_ered),"MF",
IF(ISNUMBER(_xlpm.szamvitel_ered),IF(_xlpm.szamvitel_ered&gt;59,"MF","NFM"),IF(_xlpm.szamvitel_ered="-","JV","PV")))))</f>
        <v>MF</v>
      </c>
      <c r="R2" s="1" t="str" cm="1">
        <f t="array" ref="R2:R32">_xlfn.LET(
_xlpm.szamvitel_ered,INDEX($G$2:$G$41,_xlfn.ANCHORARRAY(A2),1),
IF(ISNUMBER(_xlpm.szamvitel_ered),IF(_xlpm.szamvitel_ered&gt;59,"MF","NFM"),"-"))</f>
        <v>MF</v>
      </c>
      <c r="S2" s="1" t="str" cm="1">
        <f t="array" ref="S2:S32">_xlfn.LET(
_xlpm.pköe_ered,INDEX($H$2:$H$41,_xlfn.ANCHORARRAY(A2),1),
IF(_xlfn.ANCHORARRAY(E2)="-","-",IF(ISBLANK(_xlpm.pköe_ered),"MF",
IF(ISNUMBER(_xlpm.pköe_ered),IF(_xlpm.pköe_ered&gt;59,"MF","NFM"),IF(_xlpm.pköe_ered="-","JV","PV")))))</f>
        <v>MF</v>
      </c>
      <c r="T2" s="1" t="str" cm="1">
        <f t="array" ref="T2:T32">_xlfn.LET(
_xlpm.pköe_ered,INDEX($H$2:$H$41,_xlfn.ANCHORARRAY(A2),1),
IF(ISNUMBER(_xlpm.pköe_ered),IF(_xlpm.pköe_ered&gt;59,"MF","NFM"),"-"))</f>
        <v>MF</v>
      </c>
      <c r="U2" s="1" t="str" cm="1">
        <f t="array" ref="U2:U32">_xlfn.LET(
_xlpm.szobeli_ered,INDEX($I$2:$I$41,_xlfn.ANCHORARRAY(A2),1),
IF(_xlfn.ANCHORARRAY(N2)="nem",IF(_xlfn.ANCHORARRAY(AN2)="igen","JV",IF(_xlfn.ANCHORARRAY(AM2)="igen","PV","JV")),IF(ISBLANK(_xlpm.szobeli_ered),"MF",IF(ISNUMBER(_xlpm.szobeli_ered),IF(_xlpm.szobeli_ered&gt;59,"MF","NFM"),IF(_xlfn.ANCHORARRAY(AN2)="igen","JV","PV")))))</f>
        <v>MF</v>
      </c>
      <c r="V2" s="1" t="str" cm="1">
        <f t="array" ref="V2:V32">_xlfn.LET(
_xlpm.szobeli_ered,INDEX($I$2:$I$41,_xlfn.ANCHORARRAY(A2),1),
IF(_xlfn.ANCHORARRAY(N2)="nem","-",IF(ISNUMBER(_xlpm.szobeli_ered),IF(_xlpm.szobeli_ered&gt;59,"MF","NFM"),"-")))</f>
        <v>MF</v>
      </c>
      <c r="W2" s="1" t="str" cm="1">
        <f t="array" ref="W2:W32">IF(ISNUMBER(INDEX($G$2:$G$41,_xlfn.ANCHORARRAY(A2),1)),"igen",IF(ISNUMBER(INDEX($H$2:$H$41,_xlfn.ANCHORARRAY(A2),1)),"igen",IF(ISNUMBER(INDEX($I$2:$I$41,_xlfn.ANCHORARRAY(A2),1)),"igen","nem")))</f>
        <v>igen</v>
      </c>
      <c r="X2" s="1" t="str" cm="1">
        <f t="array" ref="X2:X32">_xlfn._xlws.FILTER(vizsgazok_t[pótló],Név&lt;&gt;"","")</f>
        <v>nem</v>
      </c>
      <c r="Y2" s="1" t="str" cm="1">
        <f t="array" ref="Y2:Y32">_xlfn._xlws.FILTER(vizsgazok_t[javító],Név&lt;&gt;"","")</f>
        <v>nem</v>
      </c>
      <c r="Z2" s="1" t="str" cm="1">
        <f t="array" ref="Z2:Z32">IF(_xlfn.ANCHORARRAY(Y2)="igen",IF(_xlfn.ANCHORARRAY(N2)="igen","igen","nem"),"nem")</f>
        <v>nem</v>
      </c>
      <c r="AA2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" s="1"/>
      <c r="AC2" s="1" t="b" cm="1">
        <f t="array" ref="AC2:AC32">ISNUMBER(INDEX($G$2:$G$41,_xlfn.ANCHORARRAY(A2),1))</f>
        <v>1</v>
      </c>
      <c r="AD2" s="1" t="str" cm="1">
        <f t="array" ref="AD2:AD32">IF(INDEX($G$2:$G$41,_xlfn.ANCHORARRAY(A2),1)="-","igen","nem")</f>
        <v>nem</v>
      </c>
      <c r="AE2" s="1" t="str" cm="1">
        <f t="array" ref="AE2:AE32">IF(INDEX($G$2:$G$41,_xlfn.ANCHORARRAY(A2),1)="+","igen","nem")</f>
        <v>nem</v>
      </c>
      <c r="AF2" s="1" t="b" cm="1">
        <f t="array" ref="AF2:AF32">ISNUMBER(INDEX($H$2:$H$41,_xlfn.ANCHORARRAY(A2),1))</f>
        <v>1</v>
      </c>
      <c r="AG2" s="1" t="str" cm="1">
        <f t="array" ref="AG2:AG32">IF(INDEX($H$2:$H$41,_xlfn.ANCHORARRAY(A2),1)="-","igen","nem")</f>
        <v>nem</v>
      </c>
      <c r="AH2" s="1" t="str" cm="1">
        <f t="array" ref="AH2:AH32">IF(INDEX($H$2:$H$41,_xlfn.ANCHORARRAY(A2),1)="+","igen","nem")</f>
        <v>nem</v>
      </c>
      <c r="AI2" s="1" t="b" cm="1">
        <f t="array" ref="AI2:AI32">ISNUMBER(INDEX($I$2:$I$41,_xlfn.ANCHORARRAY(A2),1))</f>
        <v>1</v>
      </c>
      <c r="AJ2" s="1" t="str" cm="1">
        <f t="array" ref="AJ2:AJ32">IF(INDEX($I$2:$I$41,_xlfn.ANCHORARRAY(A2),1)="-","igen","nem")</f>
        <v>nem</v>
      </c>
      <c r="AK2" s="1" t="str" cm="1">
        <f t="array" ref="AK2:AK32">IF(INDEX($I$2:$I$41,_xlfn.ANCHORARRAY(A2),1)="+","igen","nem")</f>
        <v>nem</v>
      </c>
      <c r="AL2" s="1" t="str" cm="1">
        <f t="array" ref="AL2:AL32">IF(INDEX($J$2:$J$41,_xlfn.ANCHORARRAY(A2),1)="p","igen","")</f>
        <v/>
      </c>
      <c r="AM2" s="1" t="str" cm="1">
        <f t="array" ref="AM2:AM32">IF(INDEX($G$2:$G$41,_xlfn.ANCHORARRAY(A2),1)="+","igen",IF(INDEX($H$2:$H$41,_xlfn.ANCHORARRAY(A2),1)="+","igen",IF(INDEX($I$2:$I$41,_xlfn.ANCHORARRAY(A2),1)="+","igen","nem")))</f>
        <v>nem</v>
      </c>
      <c r="AN2" s="1" t="str" cm="1">
        <f t="array" ref="AN2:AN32">IF(INDEX($G$2:$G$41,_xlfn.ANCHORARRAY(A2),1)="-","igen",IF(INDEX($H$2:$H$41,_xlfn.ANCHORARRAY(A2),1)="-","igen",IF(INDEX($I$2:$I$41,_xlfn.ANCHORARRAY(A2),1)="-","igen","nem")))</f>
        <v>nem</v>
      </c>
      <c r="AO2" s="1" t="b" cm="1">
        <f t="array" ref="AO2:AO32">_xlfn._xlws.FILTER(vizsgazok_t[első vizsgás],Név&lt;&gt;"","")</f>
        <v>1</v>
      </c>
      <c r="AP2" s="1" t="str" cm="1">
        <f t="array" ref="AP2:AP32">IF(_xlfn.ANCHORARRAY(Q2)="NFM","JV",IF(_xlfn.ANCHORARRAY(Q2)="JV","JV","-"))</f>
        <v>-</v>
      </c>
      <c r="AQ2" s="1" t="str" cm="1">
        <f t="array" ref="AQ2:AQ32">IF(_xlfn.ANCHORARRAY(S2)="NFM","JV",IF(_xlfn.ANCHORARRAY(S2)="JV","JV","-"))</f>
        <v>-</v>
      </c>
      <c r="AR2" s="1" t="str" cm="1">
        <f t="array" ref="AR2:AR32">IF(_xlfn.ANCHORARRAY(U2)="NFM","JV",IF(_xlfn.ANCHORARRAY(U2)="JV","JV","-"))</f>
        <v>-</v>
      </c>
      <c r="AS2" s="1"/>
    </row>
    <row r="3" spans="1:45" s="8" customFormat="1" ht="27.75" customHeight="1" x14ac:dyDescent="0.25">
      <c r="A3" s="1">
        <v>2</v>
      </c>
      <c r="B3" s="10" t="str">
        <v>Theodore Dinh</v>
      </c>
      <c r="C3" s="1" t="str">
        <v>1998.04.06.</v>
      </c>
      <c r="D3" s="1" t="str">
        <v>O</v>
      </c>
      <c r="E3" s="1" t="str">
        <v>O</v>
      </c>
      <c r="F3" s="1" t="str">
        <v>BNT</v>
      </c>
      <c r="G3" s="14">
        <v>49</v>
      </c>
      <c r="H3" s="14">
        <v>83</v>
      </c>
      <c r="I3" s="14"/>
      <c r="J3" s="15"/>
      <c r="K3" s="15"/>
      <c r="L3" s="1" t="str">
        <v>nem</v>
      </c>
      <c r="M3" s="1" t="str">
        <v/>
      </c>
      <c r="N3" s="1" t="str">
        <v>nem</v>
      </c>
      <c r="O3" s="1" t="str">
        <v>nem</v>
      </c>
      <c r="P3" s="1" t="str">
        <v>igen</v>
      </c>
      <c r="Q3" s="1" t="str">
        <v>NFM</v>
      </c>
      <c r="R3" s="1" t="str">
        <v>NFM</v>
      </c>
      <c r="S3" s="1" t="str">
        <v>MF</v>
      </c>
      <c r="T3" s="1" t="str">
        <v>MF</v>
      </c>
      <c r="U3" s="1" t="str">
        <v>JV</v>
      </c>
      <c r="V3" s="1" t="str">
        <v>-</v>
      </c>
      <c r="W3" s="1" t="str">
        <v>igen</v>
      </c>
      <c r="X3" s="1" t="str">
        <v>nem</v>
      </c>
      <c r="Y3" s="1" t="str">
        <v>nem</v>
      </c>
      <c r="Z3" s="1" t="str">
        <v>nem</v>
      </c>
      <c r="AA3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3" s="1"/>
      <c r="AC3" s="1" t="b">
        <v>1</v>
      </c>
      <c r="AD3" s="1" t="str">
        <v>nem</v>
      </c>
      <c r="AE3" s="1" t="str">
        <v>nem</v>
      </c>
      <c r="AF3" s="1" t="b">
        <v>1</v>
      </c>
      <c r="AG3" s="1" t="str">
        <v>nem</v>
      </c>
      <c r="AH3" s="1" t="str">
        <v>nem</v>
      </c>
      <c r="AI3" s="2" t="b">
        <v>0</v>
      </c>
      <c r="AJ3" s="2" t="str">
        <v>nem</v>
      </c>
      <c r="AK3" s="2" t="str">
        <v>nem</v>
      </c>
      <c r="AL3" s="2" t="str">
        <v/>
      </c>
      <c r="AM3" s="1" t="str">
        <v>nem</v>
      </c>
      <c r="AN3" s="1" t="str">
        <v>nem</v>
      </c>
      <c r="AO3" s="1" t="b">
        <v>1</v>
      </c>
      <c r="AP3" s="1" t="str">
        <v>JV</v>
      </c>
      <c r="AQ3" s="1" t="str">
        <v>-</v>
      </c>
      <c r="AR3" s="1" t="str">
        <v>JV</v>
      </c>
      <c r="AS3" s="1"/>
    </row>
    <row r="4" spans="1:45" s="8" customFormat="1" ht="27.75" customHeight="1" x14ac:dyDescent="0.25">
      <c r="A4" s="1">
        <v>3</v>
      </c>
      <c r="B4" s="10" t="str">
        <v>Luna Sanders</v>
      </c>
      <c r="C4" s="1" t="str">
        <v>1989.12.31.</v>
      </c>
      <c r="D4" s="1" t="str">
        <v>O</v>
      </c>
      <c r="E4" s="1" t="str">
        <v>O</v>
      </c>
      <c r="F4" s="1" t="str">
        <v>O</v>
      </c>
      <c r="G4" s="14">
        <v>65</v>
      </c>
      <c r="H4" s="14">
        <v>81</v>
      </c>
      <c r="I4" s="14">
        <v>65</v>
      </c>
      <c r="J4" s="15"/>
      <c r="K4" s="15">
        <v>65</v>
      </c>
      <c r="L4" s="1" t="str">
        <v>igen</v>
      </c>
      <c r="M4" s="1">
        <v>65</v>
      </c>
      <c r="N4" s="1" t="str">
        <v>igen</v>
      </c>
      <c r="O4" s="1" t="str">
        <v>igen</v>
      </c>
      <c r="P4" s="1" t="str">
        <v>igen</v>
      </c>
      <c r="Q4" s="1" t="str">
        <v>MF</v>
      </c>
      <c r="R4" s="1" t="str">
        <v>MF</v>
      </c>
      <c r="S4" s="1" t="str">
        <v>MF</v>
      </c>
      <c r="T4" s="1" t="str">
        <v>MF</v>
      </c>
      <c r="U4" s="1" t="str">
        <v>MF</v>
      </c>
      <c r="V4" s="1" t="str">
        <v>MF</v>
      </c>
      <c r="W4" s="1" t="str">
        <v>igen</v>
      </c>
      <c r="X4" s="1" t="str">
        <v>nem</v>
      </c>
      <c r="Y4" s="1" t="str">
        <v>nem</v>
      </c>
      <c r="Z4" s="1" t="str">
        <v>nem</v>
      </c>
      <c r="AA4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4" s="1"/>
      <c r="AC4" s="1" t="b">
        <v>1</v>
      </c>
      <c r="AD4" s="1" t="str">
        <v>nem</v>
      </c>
      <c r="AE4" s="1" t="str">
        <v>nem</v>
      </c>
      <c r="AF4" s="1" t="b">
        <v>1</v>
      </c>
      <c r="AG4" s="1" t="str">
        <v>nem</v>
      </c>
      <c r="AH4" s="1" t="str">
        <v>nem</v>
      </c>
      <c r="AI4" s="1" t="b">
        <v>1</v>
      </c>
      <c r="AJ4" s="1" t="str">
        <v>nem</v>
      </c>
      <c r="AK4" s="1" t="str">
        <v>nem</v>
      </c>
      <c r="AL4" s="1" t="str">
        <v/>
      </c>
      <c r="AM4" s="1" t="str">
        <v>nem</v>
      </c>
      <c r="AN4" s="1" t="str">
        <v>nem</v>
      </c>
      <c r="AO4" s="1" t="b">
        <v>1</v>
      </c>
      <c r="AP4" s="1" t="str">
        <v>-</v>
      </c>
      <c r="AQ4" s="1" t="str">
        <v>-</v>
      </c>
      <c r="AR4" s="1" t="str">
        <v>-</v>
      </c>
      <c r="AS4" s="1"/>
    </row>
    <row r="5" spans="1:45" s="8" customFormat="1" ht="27.75" customHeight="1" x14ac:dyDescent="0.25">
      <c r="A5" s="1">
        <v>4</v>
      </c>
      <c r="B5" s="10" t="str">
        <v>Penelope Jordan</v>
      </c>
      <c r="C5" s="1" t="str">
        <v>1998.08.17.</v>
      </c>
      <c r="D5" s="1" t="str">
        <v>O</v>
      </c>
      <c r="E5" s="1" t="str">
        <v>O</v>
      </c>
      <c r="F5" s="1" t="str">
        <v>BNT</v>
      </c>
      <c r="G5" s="14">
        <v>60</v>
      </c>
      <c r="H5" s="14" t="s">
        <v>109</v>
      </c>
      <c r="I5" s="14"/>
      <c r="J5" s="15"/>
      <c r="K5" s="15"/>
      <c r="L5" s="1" t="str">
        <v>nem</v>
      </c>
      <c r="M5" s="1" t="str">
        <v/>
      </c>
      <c r="N5" s="1" t="str">
        <v>nem</v>
      </c>
      <c r="O5" s="1" t="str">
        <v>igen</v>
      </c>
      <c r="P5" s="1" t="str">
        <v>nem</v>
      </c>
      <c r="Q5" s="1" t="str">
        <v>MF</v>
      </c>
      <c r="R5" s="1" t="str">
        <v>MF</v>
      </c>
      <c r="S5" s="1" t="str">
        <v>JV</v>
      </c>
      <c r="T5" s="1" t="str">
        <v>-</v>
      </c>
      <c r="U5" s="1" t="str">
        <v>JV</v>
      </c>
      <c r="V5" s="1" t="str">
        <v>-</v>
      </c>
      <c r="W5" s="1" t="str">
        <v>igen</v>
      </c>
      <c r="X5" s="1" t="str">
        <v>nem</v>
      </c>
      <c r="Y5" s="1" t="str">
        <v>nem</v>
      </c>
      <c r="Z5" s="1" t="str">
        <v>nem</v>
      </c>
      <c r="AA5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5" s="1"/>
      <c r="AC5" s="1" t="b">
        <v>1</v>
      </c>
      <c r="AD5" s="1" t="str">
        <v>nem</v>
      </c>
      <c r="AE5" s="1" t="str">
        <v>nem</v>
      </c>
      <c r="AF5" s="1" t="b">
        <v>0</v>
      </c>
      <c r="AG5" s="1" t="str">
        <v>igen</v>
      </c>
      <c r="AH5" s="1" t="str">
        <v>nem</v>
      </c>
      <c r="AI5" s="1" t="b">
        <v>0</v>
      </c>
      <c r="AJ5" s="1" t="str">
        <v>nem</v>
      </c>
      <c r="AK5" s="1" t="str">
        <v>nem</v>
      </c>
      <c r="AL5" s="1" t="str">
        <v/>
      </c>
      <c r="AM5" s="1" t="str">
        <v>nem</v>
      </c>
      <c r="AN5" s="1" t="str">
        <v>igen</v>
      </c>
      <c r="AO5" s="1" t="b">
        <v>1</v>
      </c>
      <c r="AP5" s="1" t="str">
        <v>-</v>
      </c>
      <c r="AQ5" s="1" t="str">
        <v>JV</v>
      </c>
      <c r="AR5" s="1" t="str">
        <v>JV</v>
      </c>
      <c r="AS5" s="1"/>
    </row>
    <row r="6" spans="1:45" s="8" customFormat="1" ht="27.75" customHeight="1" x14ac:dyDescent="0.25">
      <c r="A6" s="1">
        <v>5</v>
      </c>
      <c r="B6" s="10" t="str">
        <v>Austin Vo</v>
      </c>
      <c r="C6" s="1" t="str">
        <v>1990.07.07.</v>
      </c>
      <c r="D6" s="1" t="str">
        <v>O</v>
      </c>
      <c r="E6" s="1" t="str">
        <v>O</v>
      </c>
      <c r="F6" s="1" t="str">
        <v>BNT</v>
      </c>
      <c r="G6" s="14">
        <v>51</v>
      </c>
      <c r="H6" s="14">
        <v>82</v>
      </c>
      <c r="I6" s="14"/>
      <c r="J6" s="15"/>
      <c r="K6" s="15"/>
      <c r="L6" s="1" t="str">
        <v>nem</v>
      </c>
      <c r="M6" s="1" t="str">
        <v/>
      </c>
      <c r="N6" s="1" t="str">
        <v>nem</v>
      </c>
      <c r="O6" s="1" t="str">
        <v>nem</v>
      </c>
      <c r="P6" s="1" t="str">
        <v>igen</v>
      </c>
      <c r="Q6" s="1" t="str">
        <v>NFM</v>
      </c>
      <c r="R6" s="1" t="str">
        <v>NFM</v>
      </c>
      <c r="S6" s="1" t="str">
        <v>MF</v>
      </c>
      <c r="T6" s="1" t="str">
        <v>MF</v>
      </c>
      <c r="U6" s="1" t="str">
        <v>JV</v>
      </c>
      <c r="V6" s="1" t="str">
        <v>-</v>
      </c>
      <c r="W6" s="1" t="str">
        <v>igen</v>
      </c>
      <c r="X6" s="1" t="str">
        <v>nem</v>
      </c>
      <c r="Y6" s="1" t="str">
        <v>nem</v>
      </c>
      <c r="Z6" s="1" t="str">
        <v>nem</v>
      </c>
      <c r="AA6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6" s="1"/>
      <c r="AC6" s="1" t="b">
        <v>1</v>
      </c>
      <c r="AD6" s="1" t="str">
        <v>nem</v>
      </c>
      <c r="AE6" s="1" t="str">
        <v>nem</v>
      </c>
      <c r="AF6" s="1" t="b">
        <v>1</v>
      </c>
      <c r="AG6" s="1" t="str">
        <v>nem</v>
      </c>
      <c r="AH6" s="1" t="str">
        <v>nem</v>
      </c>
      <c r="AI6" s="1" t="b">
        <v>0</v>
      </c>
      <c r="AJ6" s="1" t="str">
        <v>nem</v>
      </c>
      <c r="AK6" s="1" t="str">
        <v>nem</v>
      </c>
      <c r="AL6" s="1" t="str">
        <v/>
      </c>
      <c r="AM6" s="1" t="str">
        <v>nem</v>
      </c>
      <c r="AN6" s="1" t="str">
        <v>nem</v>
      </c>
      <c r="AO6" s="1" t="b">
        <v>1</v>
      </c>
      <c r="AP6" s="1" t="str">
        <v>JV</v>
      </c>
      <c r="AQ6" s="1" t="str">
        <v>-</v>
      </c>
      <c r="AR6" s="1" t="str">
        <v>JV</v>
      </c>
      <c r="AS6" s="1"/>
    </row>
    <row r="7" spans="1:45" s="8" customFormat="1" ht="27.75" customHeight="1" x14ac:dyDescent="0.25">
      <c r="A7" s="1">
        <v>6</v>
      </c>
      <c r="B7" s="10" t="str">
        <v>Joshua Gupta</v>
      </c>
      <c r="C7" s="1" t="str">
        <v>1976.05.27.</v>
      </c>
      <c r="D7" s="1" t="str">
        <v>O</v>
      </c>
      <c r="E7" s="1" t="str">
        <v>O</v>
      </c>
      <c r="F7" s="1" t="str">
        <v>BNT</v>
      </c>
      <c r="G7" s="14">
        <v>52</v>
      </c>
      <c r="H7" s="14">
        <v>60</v>
      </c>
      <c r="I7" s="14"/>
      <c r="J7" s="15"/>
      <c r="K7" s="15"/>
      <c r="L7" s="1" t="str">
        <v>nem</v>
      </c>
      <c r="M7" s="1" t="str">
        <v/>
      </c>
      <c r="N7" s="1" t="str">
        <v>nem</v>
      </c>
      <c r="O7" s="1" t="str">
        <v>nem</v>
      </c>
      <c r="P7" s="1" t="str">
        <v>igen</v>
      </c>
      <c r="Q7" s="1" t="str">
        <v>NFM</v>
      </c>
      <c r="R7" s="1" t="str">
        <v>NFM</v>
      </c>
      <c r="S7" s="1" t="str">
        <v>MF</v>
      </c>
      <c r="T7" s="1" t="str">
        <v>MF</v>
      </c>
      <c r="U7" s="1" t="str">
        <v>JV</v>
      </c>
      <c r="V7" s="1" t="str">
        <v>-</v>
      </c>
      <c r="W7" s="1" t="str">
        <v>igen</v>
      </c>
      <c r="X7" s="1" t="str">
        <v>nem</v>
      </c>
      <c r="Y7" s="1" t="str">
        <v>nem</v>
      </c>
      <c r="Z7" s="1" t="str">
        <v>nem</v>
      </c>
      <c r="AA7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7" s="1"/>
      <c r="AC7" s="1" t="b">
        <v>1</v>
      </c>
      <c r="AD7" s="1" t="str">
        <v>nem</v>
      </c>
      <c r="AE7" s="1" t="str">
        <v>nem</v>
      </c>
      <c r="AF7" s="1" t="b">
        <v>1</v>
      </c>
      <c r="AG7" s="1" t="str">
        <v>nem</v>
      </c>
      <c r="AH7" s="1" t="str">
        <v>nem</v>
      </c>
      <c r="AI7" s="1" t="b">
        <v>0</v>
      </c>
      <c r="AJ7" s="1" t="str">
        <v>nem</v>
      </c>
      <c r="AK7" s="1" t="str">
        <v>nem</v>
      </c>
      <c r="AL7" s="1" t="str">
        <v/>
      </c>
      <c r="AM7" s="1" t="str">
        <v>nem</v>
      </c>
      <c r="AN7" s="1" t="str">
        <v>nem</v>
      </c>
      <c r="AO7" s="1" t="b">
        <v>1</v>
      </c>
      <c r="AP7" s="1" t="str">
        <v>JV</v>
      </c>
      <c r="AQ7" s="1" t="str">
        <v>-</v>
      </c>
      <c r="AR7" s="1" t="str">
        <v>JV</v>
      </c>
      <c r="AS7" s="1"/>
    </row>
    <row r="8" spans="1:45" s="8" customFormat="1" ht="27.75" customHeight="1" x14ac:dyDescent="0.25">
      <c r="A8" s="1">
        <v>7</v>
      </c>
      <c r="B8" s="10" t="str">
        <v>Ruby Barnes</v>
      </c>
      <c r="C8" s="1" t="str">
        <v>1978.12.22.</v>
      </c>
      <c r="D8" s="1" t="str">
        <v>O</v>
      </c>
      <c r="E8" s="1" t="str">
        <v>O</v>
      </c>
      <c r="F8" s="1" t="str">
        <v>O</v>
      </c>
      <c r="G8" s="14">
        <v>77</v>
      </c>
      <c r="H8" s="14">
        <v>92</v>
      </c>
      <c r="I8" s="14">
        <v>80</v>
      </c>
      <c r="J8" s="15"/>
      <c r="K8" s="15">
        <v>80</v>
      </c>
      <c r="L8" s="1" t="str">
        <v>igen</v>
      </c>
      <c r="M8" s="1">
        <v>80</v>
      </c>
      <c r="N8" s="1" t="str">
        <v>igen</v>
      </c>
      <c r="O8" s="1" t="str">
        <v>igen</v>
      </c>
      <c r="P8" s="1" t="str">
        <v>igen</v>
      </c>
      <c r="Q8" s="1" t="str">
        <v>MF</v>
      </c>
      <c r="R8" s="1" t="str">
        <v>MF</v>
      </c>
      <c r="S8" s="1" t="str">
        <v>MF</v>
      </c>
      <c r="T8" s="1" t="str">
        <v>MF</v>
      </c>
      <c r="U8" s="1" t="str">
        <v>MF</v>
      </c>
      <c r="V8" s="1" t="str">
        <v>MF</v>
      </c>
      <c r="W8" s="1" t="str">
        <v>igen</v>
      </c>
      <c r="X8" s="1" t="str">
        <v>nem</v>
      </c>
      <c r="Y8" s="1" t="str">
        <v>nem</v>
      </c>
      <c r="Z8" s="1" t="str">
        <v>nem</v>
      </c>
      <c r="AA8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8" s="1"/>
      <c r="AC8" s="1" t="b">
        <v>1</v>
      </c>
      <c r="AD8" s="1" t="str">
        <v>nem</v>
      </c>
      <c r="AE8" s="1" t="str">
        <v>nem</v>
      </c>
      <c r="AF8" s="1" t="b">
        <v>1</v>
      </c>
      <c r="AG8" s="1" t="str">
        <v>nem</v>
      </c>
      <c r="AH8" s="1" t="str">
        <v>nem</v>
      </c>
      <c r="AI8" s="1" t="b">
        <v>1</v>
      </c>
      <c r="AJ8" s="1" t="str">
        <v>nem</v>
      </c>
      <c r="AK8" s="1" t="str">
        <v>nem</v>
      </c>
      <c r="AL8" s="1" t="str">
        <v/>
      </c>
      <c r="AM8" s="1" t="str">
        <v>nem</v>
      </c>
      <c r="AN8" s="1" t="str">
        <v>nem</v>
      </c>
      <c r="AO8" s="1" t="b">
        <v>1</v>
      </c>
      <c r="AP8" s="1" t="str">
        <v>-</v>
      </c>
      <c r="AQ8" s="1" t="str">
        <v>-</v>
      </c>
      <c r="AR8" s="1" t="str">
        <v>-</v>
      </c>
      <c r="AS8" s="1"/>
    </row>
    <row r="9" spans="1:45" s="8" customFormat="1" ht="27.75" customHeight="1" x14ac:dyDescent="0.25">
      <c r="A9" s="1">
        <v>8</v>
      </c>
      <c r="B9" s="10" t="str">
        <v>Luke Martin</v>
      </c>
      <c r="C9" s="1" t="str">
        <v>1991.09.10.</v>
      </c>
      <c r="D9" s="1" t="str">
        <v>O</v>
      </c>
      <c r="E9" s="1" t="str">
        <v>O</v>
      </c>
      <c r="F9" s="1" t="str">
        <v>BNT</v>
      </c>
      <c r="G9" s="14">
        <v>53</v>
      </c>
      <c r="H9" s="14">
        <v>73</v>
      </c>
      <c r="I9" s="14"/>
      <c r="J9" s="15"/>
      <c r="K9" s="15"/>
      <c r="L9" s="1" t="str">
        <v>nem</v>
      </c>
      <c r="M9" s="1" t="str">
        <v/>
      </c>
      <c r="N9" s="1" t="str">
        <v>nem</v>
      </c>
      <c r="O9" s="1" t="str">
        <v>nem</v>
      </c>
      <c r="P9" s="1" t="str">
        <v>igen</v>
      </c>
      <c r="Q9" s="1" t="str">
        <v>NFM</v>
      </c>
      <c r="R9" s="1" t="str">
        <v>NFM</v>
      </c>
      <c r="S9" s="1" t="str">
        <v>MF</v>
      </c>
      <c r="T9" s="1" t="str">
        <v>MF</v>
      </c>
      <c r="U9" s="1" t="str">
        <v>JV</v>
      </c>
      <c r="V9" s="1" t="str">
        <v>-</v>
      </c>
      <c r="W9" s="1" t="str">
        <v>igen</v>
      </c>
      <c r="X9" s="1" t="str">
        <v>nem</v>
      </c>
      <c r="Y9" s="1" t="str">
        <v>nem</v>
      </c>
      <c r="Z9" s="1" t="str">
        <v>nem</v>
      </c>
      <c r="AA9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9" s="1"/>
      <c r="AC9" s="1" t="b">
        <v>1</v>
      </c>
      <c r="AD9" s="1" t="str">
        <v>nem</v>
      </c>
      <c r="AE9" s="1" t="str">
        <v>nem</v>
      </c>
      <c r="AF9" s="1" t="b">
        <v>1</v>
      </c>
      <c r="AG9" s="1" t="str">
        <v>nem</v>
      </c>
      <c r="AH9" s="1" t="str">
        <v>nem</v>
      </c>
      <c r="AI9" s="1" t="b">
        <v>0</v>
      </c>
      <c r="AJ9" s="1" t="str">
        <v>nem</v>
      </c>
      <c r="AK9" s="1" t="str">
        <v>nem</v>
      </c>
      <c r="AL9" s="1" t="str">
        <v/>
      </c>
      <c r="AM9" s="1" t="str">
        <v>nem</v>
      </c>
      <c r="AN9" s="1" t="str">
        <v>nem</v>
      </c>
      <c r="AO9" s="1" t="b">
        <v>1</v>
      </c>
      <c r="AP9" s="1" t="str">
        <v>JV</v>
      </c>
      <c r="AQ9" s="1" t="str">
        <v>-</v>
      </c>
      <c r="AR9" s="1" t="str">
        <v>JV</v>
      </c>
      <c r="AS9" s="1"/>
    </row>
    <row r="10" spans="1:45" s="8" customFormat="1" ht="27.75" customHeight="1" x14ac:dyDescent="0.25">
      <c r="A10" s="1">
        <v>9</v>
      </c>
      <c r="B10" s="10" t="str">
        <v>Easton Bailey</v>
      </c>
      <c r="C10" s="1" t="str">
        <v>1994.12.20.</v>
      </c>
      <c r="D10" s="1" t="str">
        <v>O</v>
      </c>
      <c r="E10" s="1" t="str">
        <v>O</v>
      </c>
      <c r="F10" s="1" t="str">
        <v>BNT</v>
      </c>
      <c r="G10" s="14">
        <v>8</v>
      </c>
      <c r="H10" s="14">
        <v>47</v>
      </c>
      <c r="I10" s="14"/>
      <c r="J10" s="15"/>
      <c r="K10" s="15"/>
      <c r="L10" s="1" t="str">
        <v>nem</v>
      </c>
      <c r="M10" s="1" t="str">
        <v/>
      </c>
      <c r="N10" s="1" t="str">
        <v>nem</v>
      </c>
      <c r="O10" s="1" t="str">
        <v>nem</v>
      </c>
      <c r="P10" s="1" t="str">
        <v>nem</v>
      </c>
      <c r="Q10" s="1" t="str">
        <v>NFM</v>
      </c>
      <c r="R10" s="1" t="str">
        <v>NFM</v>
      </c>
      <c r="S10" s="1" t="str">
        <v>NFM</v>
      </c>
      <c r="T10" s="1" t="str">
        <v>NFM</v>
      </c>
      <c r="U10" s="1" t="str">
        <v>JV</v>
      </c>
      <c r="V10" s="1" t="str">
        <v>-</v>
      </c>
      <c r="W10" s="1" t="str">
        <v>igen</v>
      </c>
      <c r="X10" s="1" t="str">
        <v>nem</v>
      </c>
      <c r="Y10" s="1" t="str">
        <v>nem</v>
      </c>
      <c r="Z10" s="1" t="str">
        <v>nem</v>
      </c>
      <c r="AA10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0" s="1"/>
      <c r="AC10" s="1" t="b">
        <v>1</v>
      </c>
      <c r="AD10" s="1" t="str">
        <v>nem</v>
      </c>
      <c r="AE10" s="1" t="str">
        <v>nem</v>
      </c>
      <c r="AF10" s="1" t="b">
        <v>1</v>
      </c>
      <c r="AG10" s="1" t="str">
        <v>nem</v>
      </c>
      <c r="AH10" s="1" t="str">
        <v>nem</v>
      </c>
      <c r="AI10" s="1" t="b">
        <v>0</v>
      </c>
      <c r="AJ10" s="1" t="str">
        <v>nem</v>
      </c>
      <c r="AK10" s="1" t="str">
        <v>nem</v>
      </c>
      <c r="AL10" s="1" t="str">
        <v/>
      </c>
      <c r="AM10" s="1" t="str">
        <v>nem</v>
      </c>
      <c r="AN10" s="1" t="str">
        <v>nem</v>
      </c>
      <c r="AO10" s="1" t="b">
        <v>1</v>
      </c>
      <c r="AP10" s="1" t="str">
        <v>JV</v>
      </c>
      <c r="AQ10" s="1" t="str">
        <v>JV</v>
      </c>
      <c r="AR10" s="1" t="str">
        <v>JV</v>
      </c>
      <c r="AS10" s="1"/>
    </row>
    <row r="11" spans="1:45" s="8" customFormat="1" ht="27.75" customHeight="1" x14ac:dyDescent="0.25">
      <c r="A11" s="1">
        <v>10</v>
      </c>
      <c r="B11" s="10" t="str">
        <v>Madeline Walker</v>
      </c>
      <c r="C11" s="1" t="str">
        <v>1994.06.12.</v>
      </c>
      <c r="D11" s="1" t="str">
        <v>O</v>
      </c>
      <c r="E11" s="1" t="str">
        <v>O</v>
      </c>
      <c r="F11" s="1" t="str">
        <v>BNT</v>
      </c>
      <c r="G11" s="14">
        <v>55</v>
      </c>
      <c r="H11" s="14">
        <v>87</v>
      </c>
      <c r="I11" s="14"/>
      <c r="J11" s="15"/>
      <c r="K11" s="15"/>
      <c r="L11" s="1" t="str">
        <v>nem</v>
      </c>
      <c r="M11" s="1" t="str">
        <v/>
      </c>
      <c r="N11" s="1" t="str">
        <v>nem</v>
      </c>
      <c r="O11" s="1" t="str">
        <v>nem</v>
      </c>
      <c r="P11" s="1" t="str">
        <v>igen</v>
      </c>
      <c r="Q11" s="1" t="str">
        <v>NFM</v>
      </c>
      <c r="R11" s="1" t="str">
        <v>NFM</v>
      </c>
      <c r="S11" s="1" t="str">
        <v>MF</v>
      </c>
      <c r="T11" s="1" t="str">
        <v>MF</v>
      </c>
      <c r="U11" s="1" t="str">
        <v>JV</v>
      </c>
      <c r="V11" s="1" t="str">
        <v>-</v>
      </c>
      <c r="W11" s="1" t="str">
        <v>igen</v>
      </c>
      <c r="X11" s="1" t="str">
        <v>nem</v>
      </c>
      <c r="Y11" s="1" t="str">
        <v>nem</v>
      </c>
      <c r="Z11" s="1" t="str">
        <v>nem</v>
      </c>
      <c r="AA11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1" s="1"/>
      <c r="AC11" s="1" t="b">
        <v>1</v>
      </c>
      <c r="AD11" s="1" t="str">
        <v>nem</v>
      </c>
      <c r="AE11" s="1" t="str">
        <v>nem</v>
      </c>
      <c r="AF11" s="1" t="b">
        <v>1</v>
      </c>
      <c r="AG11" s="1" t="str">
        <v>nem</v>
      </c>
      <c r="AH11" s="1" t="str">
        <v>nem</v>
      </c>
      <c r="AI11" s="1" t="b">
        <v>0</v>
      </c>
      <c r="AJ11" s="1" t="str">
        <v>nem</v>
      </c>
      <c r="AK11" s="1" t="str">
        <v>nem</v>
      </c>
      <c r="AL11" s="1" t="str">
        <v/>
      </c>
      <c r="AM11" s="1" t="str">
        <v>nem</v>
      </c>
      <c r="AN11" s="1" t="str">
        <v>nem</v>
      </c>
      <c r="AO11" s="1" t="b">
        <v>1</v>
      </c>
      <c r="AP11" s="1" t="str">
        <v>JV</v>
      </c>
      <c r="AQ11" s="1" t="str">
        <v>-</v>
      </c>
      <c r="AR11" s="1" t="str">
        <v>JV</v>
      </c>
      <c r="AS11" s="1"/>
    </row>
    <row r="12" spans="1:45" s="8" customFormat="1" ht="27.75" customHeight="1" x14ac:dyDescent="0.25">
      <c r="A12" s="1">
        <v>11</v>
      </c>
      <c r="B12" s="10" t="str">
        <v>Savannah Ali</v>
      </c>
      <c r="C12" s="1" t="str">
        <v>1981.01.21.</v>
      </c>
      <c r="D12" s="1" t="str">
        <v>O</v>
      </c>
      <c r="E12" s="1" t="str">
        <v>O</v>
      </c>
      <c r="F12" s="1" t="str">
        <v>O</v>
      </c>
      <c r="G12" s="14">
        <v>68</v>
      </c>
      <c r="H12" s="14">
        <v>75</v>
      </c>
      <c r="I12" s="14">
        <v>75</v>
      </c>
      <c r="J12" s="15" t="s">
        <v>111</v>
      </c>
      <c r="K12" s="15">
        <v>75</v>
      </c>
      <c r="L12" s="1" t="str">
        <v>igen</v>
      </c>
      <c r="M12" s="1">
        <v>75</v>
      </c>
      <c r="N12" s="1" t="str">
        <v>igen</v>
      </c>
      <c r="O12" s="1" t="str">
        <v>igen</v>
      </c>
      <c r="P12" s="1" t="str">
        <v>igen</v>
      </c>
      <c r="Q12" s="1" t="str">
        <v>MF</v>
      </c>
      <c r="R12" s="1" t="str">
        <v>MF</v>
      </c>
      <c r="S12" s="1" t="str">
        <v>MF</v>
      </c>
      <c r="T12" s="1" t="str">
        <v>MF</v>
      </c>
      <c r="U12" s="1" t="str">
        <v>MF</v>
      </c>
      <c r="V12" s="1" t="str">
        <v>MF</v>
      </c>
      <c r="W12" s="1" t="str">
        <v>igen</v>
      </c>
      <c r="X12" s="1" t="str">
        <v>nem</v>
      </c>
      <c r="Y12" s="1" t="str">
        <v>nem</v>
      </c>
      <c r="Z12" s="1" t="str">
        <v>nem</v>
      </c>
      <c r="AA12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2" s="1"/>
      <c r="AC12" s="1" t="b">
        <v>1</v>
      </c>
      <c r="AD12" s="1" t="str">
        <v>nem</v>
      </c>
      <c r="AE12" s="1" t="str">
        <v>nem</v>
      </c>
      <c r="AF12" s="1" t="b">
        <v>1</v>
      </c>
      <c r="AG12" s="1" t="str">
        <v>nem</v>
      </c>
      <c r="AH12" s="1" t="str">
        <v>nem</v>
      </c>
      <c r="AI12" s="1" t="b">
        <v>1</v>
      </c>
      <c r="AJ12" s="1" t="str">
        <v>nem</v>
      </c>
      <c r="AK12" s="1" t="str">
        <v>nem</v>
      </c>
      <c r="AL12" s="1" t="str">
        <v>igen</v>
      </c>
      <c r="AM12" s="1" t="str">
        <v>nem</v>
      </c>
      <c r="AN12" s="1" t="str">
        <v>nem</v>
      </c>
      <c r="AO12" s="1" t="b">
        <v>1</v>
      </c>
      <c r="AP12" s="1" t="str">
        <v>-</v>
      </c>
      <c r="AQ12" s="1" t="str">
        <v>-</v>
      </c>
      <c r="AR12" s="1" t="str">
        <v>-</v>
      </c>
      <c r="AS12" s="1"/>
    </row>
    <row r="13" spans="1:45" s="8" customFormat="1" ht="27.75" customHeight="1" x14ac:dyDescent="0.25">
      <c r="A13" s="1">
        <v>12</v>
      </c>
      <c r="B13" s="10" t="str">
        <v>Camila Rogers</v>
      </c>
      <c r="C13" s="1" t="str">
        <v>1992.09.22.</v>
      </c>
      <c r="D13" s="1" t="str">
        <v>O</v>
      </c>
      <c r="E13" s="1" t="str">
        <v>O</v>
      </c>
      <c r="F13" s="1" t="str">
        <v>O</v>
      </c>
      <c r="G13" s="14">
        <v>77</v>
      </c>
      <c r="H13" s="14">
        <v>80</v>
      </c>
      <c r="I13" s="14">
        <v>85</v>
      </c>
      <c r="J13" s="15"/>
      <c r="K13" s="15">
        <v>85</v>
      </c>
      <c r="L13" s="1" t="str">
        <v>igen</v>
      </c>
      <c r="M13" s="1">
        <v>85</v>
      </c>
      <c r="N13" s="1" t="str">
        <v>igen</v>
      </c>
      <c r="O13" s="1" t="str">
        <v>igen</v>
      </c>
      <c r="P13" s="1" t="str">
        <v>igen</v>
      </c>
      <c r="Q13" s="1" t="str">
        <v>MF</v>
      </c>
      <c r="R13" s="1" t="str">
        <v>MF</v>
      </c>
      <c r="S13" s="1" t="str">
        <v>MF</v>
      </c>
      <c r="T13" s="1" t="str">
        <v>MF</v>
      </c>
      <c r="U13" s="1" t="str">
        <v>MF</v>
      </c>
      <c r="V13" s="1" t="str">
        <v>MF</v>
      </c>
      <c r="W13" s="1" t="str">
        <v>igen</v>
      </c>
      <c r="X13" s="1" t="str">
        <v>nem</v>
      </c>
      <c r="Y13" s="1" t="str">
        <v>nem</v>
      </c>
      <c r="Z13" s="1" t="str">
        <v>nem</v>
      </c>
      <c r="AA13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3" s="1"/>
      <c r="AC13" s="1" t="b">
        <v>1</v>
      </c>
      <c r="AD13" s="1" t="str">
        <v>nem</v>
      </c>
      <c r="AE13" s="1" t="str">
        <v>nem</v>
      </c>
      <c r="AF13" s="1" t="b">
        <v>1</v>
      </c>
      <c r="AG13" s="1" t="str">
        <v>nem</v>
      </c>
      <c r="AH13" s="1" t="str">
        <v>nem</v>
      </c>
      <c r="AI13" s="1" t="b">
        <v>1</v>
      </c>
      <c r="AJ13" s="1" t="str">
        <v>nem</v>
      </c>
      <c r="AK13" s="1" t="str">
        <v>nem</v>
      </c>
      <c r="AL13" s="1" t="str">
        <v/>
      </c>
      <c r="AM13" s="1" t="str">
        <v>nem</v>
      </c>
      <c r="AN13" s="1" t="str">
        <v>nem</v>
      </c>
      <c r="AO13" s="1" t="b">
        <v>1</v>
      </c>
      <c r="AP13" s="1" t="str">
        <v>-</v>
      </c>
      <c r="AQ13" s="1" t="str">
        <v>-</v>
      </c>
      <c r="AR13" s="1" t="str">
        <v>-</v>
      </c>
      <c r="AS13" s="1"/>
    </row>
    <row r="14" spans="1:45" s="8" customFormat="1" ht="27.75" customHeight="1" x14ac:dyDescent="0.25">
      <c r="A14" s="1">
        <v>13</v>
      </c>
      <c r="B14" s="10" t="str">
        <v>Eli Jones</v>
      </c>
      <c r="C14" s="1" t="str">
        <v>1988.01.29.</v>
      </c>
      <c r="D14" s="1" t="str">
        <v>O</v>
      </c>
      <c r="E14" s="1" t="str">
        <v>O</v>
      </c>
      <c r="F14" s="1" t="str">
        <v>BNT</v>
      </c>
      <c r="G14" s="14" t="s">
        <v>109</v>
      </c>
      <c r="H14" s="14" t="s">
        <v>109</v>
      </c>
      <c r="I14" s="14"/>
      <c r="J14" s="15"/>
      <c r="K14" s="15"/>
      <c r="L14" s="1" t="str">
        <v>nem</v>
      </c>
      <c r="M14" s="1" t="str">
        <v/>
      </c>
      <c r="N14" s="1" t="str">
        <v>nem</v>
      </c>
      <c r="O14" s="1" t="str">
        <v>nem</v>
      </c>
      <c r="P14" s="1" t="str">
        <v>nem</v>
      </c>
      <c r="Q14" s="1" t="str">
        <v>JV</v>
      </c>
      <c r="R14" s="1" t="str">
        <v>-</v>
      </c>
      <c r="S14" s="1" t="str">
        <v>JV</v>
      </c>
      <c r="T14" s="1" t="str">
        <v>-</v>
      </c>
      <c r="U14" s="1" t="str">
        <v>JV</v>
      </c>
      <c r="V14" s="1" t="str">
        <v>-</v>
      </c>
      <c r="W14" s="1" t="str">
        <v>nem</v>
      </c>
      <c r="X14" s="1" t="str">
        <v>nem</v>
      </c>
      <c r="Y14" s="1" t="str">
        <v>nem</v>
      </c>
      <c r="Z14" s="1" t="str">
        <v>nem</v>
      </c>
      <c r="AA14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4" s="1"/>
      <c r="AC14" s="1" t="b">
        <v>0</v>
      </c>
      <c r="AD14" s="1" t="str">
        <v>igen</v>
      </c>
      <c r="AE14" s="1" t="str">
        <v>nem</v>
      </c>
      <c r="AF14" s="1" t="b">
        <v>0</v>
      </c>
      <c r="AG14" s="1" t="str">
        <v>igen</v>
      </c>
      <c r="AH14" s="1" t="str">
        <v>nem</v>
      </c>
      <c r="AI14" s="1" t="b">
        <v>0</v>
      </c>
      <c r="AJ14" s="1" t="str">
        <v>nem</v>
      </c>
      <c r="AK14" s="1" t="str">
        <v>nem</v>
      </c>
      <c r="AL14" s="1" t="str">
        <v/>
      </c>
      <c r="AM14" s="1" t="str">
        <v>nem</v>
      </c>
      <c r="AN14" s="1" t="str">
        <v>igen</v>
      </c>
      <c r="AO14" s="1" t="b">
        <v>1</v>
      </c>
      <c r="AP14" s="1" t="str">
        <v>JV</v>
      </c>
      <c r="AQ14" s="1" t="str">
        <v>JV</v>
      </c>
      <c r="AR14" s="1" t="str">
        <v>JV</v>
      </c>
      <c r="AS14" s="1"/>
    </row>
    <row r="15" spans="1:45" s="8" customFormat="1" ht="27.75" customHeight="1" x14ac:dyDescent="0.25">
      <c r="A15" s="1">
        <v>14</v>
      </c>
      <c r="B15" s="10" t="str">
        <v>Everleigh Ng</v>
      </c>
      <c r="C15" s="1" t="str">
        <v>1986.07.31.</v>
      </c>
      <c r="D15" s="1" t="str">
        <v>O</v>
      </c>
      <c r="E15" s="1" t="str">
        <v>O</v>
      </c>
      <c r="F15" s="1" t="str">
        <v>O</v>
      </c>
      <c r="G15" s="14">
        <v>60</v>
      </c>
      <c r="H15" s="14">
        <v>80</v>
      </c>
      <c r="I15" s="14" t="s">
        <v>109</v>
      </c>
      <c r="J15" s="15"/>
      <c r="K15" s="15" t="s">
        <v>109</v>
      </c>
      <c r="L15" s="1" t="str">
        <v>nem</v>
      </c>
      <c r="M15" s="1" t="str">
        <v>-</v>
      </c>
      <c r="N15" s="1" t="str">
        <v>igen</v>
      </c>
      <c r="O15" s="1" t="str">
        <v>igen</v>
      </c>
      <c r="P15" s="1" t="str">
        <v>igen</v>
      </c>
      <c r="Q15" s="1" t="str">
        <v>MF</v>
      </c>
      <c r="R15" s="1" t="str">
        <v>MF</v>
      </c>
      <c r="S15" s="1" t="str">
        <v>MF</v>
      </c>
      <c r="T15" s="1" t="str">
        <v>MF</v>
      </c>
      <c r="U15" s="1" t="str">
        <v>JV</v>
      </c>
      <c r="V15" s="1" t="str">
        <v>-</v>
      </c>
      <c r="W15" s="1" t="str">
        <v>igen</v>
      </c>
      <c r="X15" s="1" t="str">
        <v>nem</v>
      </c>
      <c r="Y15" s="1" t="str">
        <v>nem</v>
      </c>
      <c r="Z15" s="1" t="str">
        <v>nem</v>
      </c>
      <c r="AA15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5" s="1"/>
      <c r="AC15" s="1" t="b">
        <v>1</v>
      </c>
      <c r="AD15" s="1" t="str">
        <v>nem</v>
      </c>
      <c r="AE15" s="1" t="str">
        <v>nem</v>
      </c>
      <c r="AF15" s="1" t="b">
        <v>1</v>
      </c>
      <c r="AG15" s="1" t="str">
        <v>nem</v>
      </c>
      <c r="AH15" s="1" t="str">
        <v>nem</v>
      </c>
      <c r="AI15" s="1" t="b">
        <v>0</v>
      </c>
      <c r="AJ15" s="1" t="str">
        <v>igen</v>
      </c>
      <c r="AK15" s="1" t="str">
        <v>nem</v>
      </c>
      <c r="AL15" s="1" t="str">
        <v/>
      </c>
      <c r="AM15" s="1" t="str">
        <v>nem</v>
      </c>
      <c r="AN15" s="1" t="str">
        <v>igen</v>
      </c>
      <c r="AO15" s="1" t="b">
        <v>1</v>
      </c>
      <c r="AP15" s="1" t="str">
        <v>-</v>
      </c>
      <c r="AQ15" s="1" t="str">
        <v>-</v>
      </c>
      <c r="AR15" s="1" t="str">
        <v>JV</v>
      </c>
      <c r="AS15" s="1"/>
    </row>
    <row r="16" spans="1:45" s="8" customFormat="1" ht="27.75" customHeight="1" x14ac:dyDescent="0.25">
      <c r="A16" s="1">
        <v>15</v>
      </c>
      <c r="B16" s="10" t="str">
        <v>Robert Yang</v>
      </c>
      <c r="C16" s="1" t="str">
        <v>1968.02.15.</v>
      </c>
      <c r="D16" s="1" t="str">
        <v>O</v>
      </c>
      <c r="E16" s="1" t="str">
        <v>O</v>
      </c>
      <c r="F16" s="1" t="str">
        <v>BNT</v>
      </c>
      <c r="G16" s="14">
        <v>37</v>
      </c>
      <c r="H16" s="14">
        <v>61</v>
      </c>
      <c r="I16" s="14"/>
      <c r="J16" s="15"/>
      <c r="K16" s="15"/>
      <c r="L16" s="1" t="str">
        <v>nem</v>
      </c>
      <c r="M16" s="1" t="str">
        <v/>
      </c>
      <c r="N16" s="1" t="str">
        <v>nem</v>
      </c>
      <c r="O16" s="1" t="str">
        <v>nem</v>
      </c>
      <c r="P16" s="1" t="str">
        <v>igen</v>
      </c>
      <c r="Q16" s="1" t="str">
        <v>NFM</v>
      </c>
      <c r="R16" s="1" t="str">
        <v>NFM</v>
      </c>
      <c r="S16" s="1" t="str">
        <v>MF</v>
      </c>
      <c r="T16" s="1" t="str">
        <v>MF</v>
      </c>
      <c r="U16" s="1" t="str">
        <v>JV</v>
      </c>
      <c r="V16" s="1" t="str">
        <v>-</v>
      </c>
      <c r="W16" s="1" t="str">
        <v>igen</v>
      </c>
      <c r="X16" s="1" t="str">
        <v>nem</v>
      </c>
      <c r="Y16" s="1" t="str">
        <v>nem</v>
      </c>
      <c r="Z16" s="1" t="str">
        <v>nem</v>
      </c>
      <c r="AA16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6" s="1"/>
      <c r="AC16" s="1" t="b">
        <v>1</v>
      </c>
      <c r="AD16" s="1" t="str">
        <v>nem</v>
      </c>
      <c r="AE16" s="1" t="str">
        <v>nem</v>
      </c>
      <c r="AF16" s="1" t="b">
        <v>1</v>
      </c>
      <c r="AG16" s="1" t="str">
        <v>nem</v>
      </c>
      <c r="AH16" s="1" t="str">
        <v>nem</v>
      </c>
      <c r="AI16" s="1" t="b">
        <v>0</v>
      </c>
      <c r="AJ16" s="1" t="str">
        <v>nem</v>
      </c>
      <c r="AK16" s="1" t="str">
        <v>nem</v>
      </c>
      <c r="AL16" s="1" t="str">
        <v/>
      </c>
      <c r="AM16" s="1" t="str">
        <v>nem</v>
      </c>
      <c r="AN16" s="1" t="str">
        <v>nem</v>
      </c>
      <c r="AO16" s="1" t="b">
        <v>1</v>
      </c>
      <c r="AP16" s="1" t="str">
        <v>JV</v>
      </c>
      <c r="AQ16" s="1" t="str">
        <v>-</v>
      </c>
      <c r="AR16" s="1" t="str">
        <v>JV</v>
      </c>
      <c r="AS16" s="1"/>
    </row>
    <row r="17" spans="1:45" s="8" customFormat="1" ht="27.75" customHeight="1" x14ac:dyDescent="0.25">
      <c r="A17" s="1">
        <v>16</v>
      </c>
      <c r="B17" s="10" t="str">
        <v>Isabella Xi</v>
      </c>
      <c r="C17" s="1" t="str">
        <v>1977.11.06.</v>
      </c>
      <c r="D17" s="1" t="str">
        <v>O</v>
      </c>
      <c r="E17" s="1" t="str">
        <v>O</v>
      </c>
      <c r="F17" s="1" t="str">
        <v>BNT</v>
      </c>
      <c r="G17" s="14">
        <v>26</v>
      </c>
      <c r="H17" s="14">
        <v>60</v>
      </c>
      <c r="I17" s="14"/>
      <c r="J17" s="15"/>
      <c r="K17" s="15"/>
      <c r="L17" s="1" t="str">
        <v>nem</v>
      </c>
      <c r="M17" s="1" t="str">
        <v/>
      </c>
      <c r="N17" s="1" t="str">
        <v>nem</v>
      </c>
      <c r="O17" s="1" t="str">
        <v>nem</v>
      </c>
      <c r="P17" s="1" t="str">
        <v>igen</v>
      </c>
      <c r="Q17" s="1" t="str">
        <v>NFM</v>
      </c>
      <c r="R17" s="1" t="str">
        <v>NFM</v>
      </c>
      <c r="S17" s="1" t="str">
        <v>MF</v>
      </c>
      <c r="T17" s="1" t="str">
        <v>MF</v>
      </c>
      <c r="U17" s="1" t="str">
        <v>JV</v>
      </c>
      <c r="V17" s="1" t="str">
        <v>-</v>
      </c>
      <c r="W17" s="1" t="str">
        <v>igen</v>
      </c>
      <c r="X17" s="1" t="str">
        <v>nem</v>
      </c>
      <c r="Y17" s="1" t="str">
        <v>nem</v>
      </c>
      <c r="Z17" s="1" t="str">
        <v>nem</v>
      </c>
      <c r="AA17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7" s="1"/>
      <c r="AC17" s="1" t="b">
        <v>1</v>
      </c>
      <c r="AD17" s="1" t="str">
        <v>nem</v>
      </c>
      <c r="AE17" s="1" t="str">
        <v>nem</v>
      </c>
      <c r="AF17" s="1" t="b">
        <v>1</v>
      </c>
      <c r="AG17" s="1" t="str">
        <v>nem</v>
      </c>
      <c r="AH17" s="1" t="str">
        <v>nem</v>
      </c>
      <c r="AI17" s="1" t="b">
        <v>0</v>
      </c>
      <c r="AJ17" s="1" t="str">
        <v>nem</v>
      </c>
      <c r="AK17" s="1" t="str">
        <v>nem</v>
      </c>
      <c r="AL17" s="1" t="str">
        <v/>
      </c>
      <c r="AM17" s="1" t="str">
        <v>nem</v>
      </c>
      <c r="AN17" s="1" t="str">
        <v>nem</v>
      </c>
      <c r="AO17" s="1" t="b">
        <v>1</v>
      </c>
      <c r="AP17" s="1" t="str">
        <v>JV</v>
      </c>
      <c r="AQ17" s="1" t="str">
        <v>-</v>
      </c>
      <c r="AR17" s="1" t="str">
        <v>JV</v>
      </c>
      <c r="AS17" s="1"/>
    </row>
    <row r="18" spans="1:45" s="8" customFormat="1" ht="27.75" customHeight="1" x14ac:dyDescent="0.25">
      <c r="A18" s="1">
        <v>17</v>
      </c>
      <c r="B18" s="10" t="str">
        <v>Bella Powell</v>
      </c>
      <c r="C18" s="1" t="str">
        <v>1995.03.06.</v>
      </c>
      <c r="D18" s="1" t="str">
        <v>O</v>
      </c>
      <c r="E18" s="1" t="str">
        <v>O</v>
      </c>
      <c r="F18" s="1" t="str">
        <v>O</v>
      </c>
      <c r="G18" s="14">
        <v>60</v>
      </c>
      <c r="H18" s="14">
        <v>88</v>
      </c>
      <c r="I18" s="14">
        <v>70</v>
      </c>
      <c r="J18" s="15"/>
      <c r="K18" s="15">
        <v>70</v>
      </c>
      <c r="L18" s="1" t="str">
        <v>igen</v>
      </c>
      <c r="M18" s="1">
        <v>70</v>
      </c>
      <c r="N18" s="1" t="str">
        <v>igen</v>
      </c>
      <c r="O18" s="1" t="str">
        <v>igen</v>
      </c>
      <c r="P18" s="1" t="str">
        <v>igen</v>
      </c>
      <c r="Q18" s="1" t="str">
        <v>MF</v>
      </c>
      <c r="R18" s="1" t="str">
        <v>MF</v>
      </c>
      <c r="S18" s="1" t="str">
        <v>MF</v>
      </c>
      <c r="T18" s="1" t="str">
        <v>MF</v>
      </c>
      <c r="U18" s="1" t="str">
        <v>MF</v>
      </c>
      <c r="V18" s="1" t="str">
        <v>MF</v>
      </c>
      <c r="W18" s="1" t="str">
        <v>igen</v>
      </c>
      <c r="X18" s="1" t="str">
        <v>nem</v>
      </c>
      <c r="Y18" s="1" t="str">
        <v>nem</v>
      </c>
      <c r="Z18" s="1" t="str">
        <v>nem</v>
      </c>
      <c r="AA18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8" s="1"/>
      <c r="AC18" s="1" t="b">
        <v>1</v>
      </c>
      <c r="AD18" s="1" t="str">
        <v>nem</v>
      </c>
      <c r="AE18" s="1" t="str">
        <v>nem</v>
      </c>
      <c r="AF18" s="1" t="b">
        <v>1</v>
      </c>
      <c r="AG18" s="1" t="str">
        <v>nem</v>
      </c>
      <c r="AH18" s="1" t="str">
        <v>nem</v>
      </c>
      <c r="AI18" s="1" t="b">
        <v>1</v>
      </c>
      <c r="AJ18" s="1" t="str">
        <v>nem</v>
      </c>
      <c r="AK18" s="1" t="str">
        <v>nem</v>
      </c>
      <c r="AL18" s="1" t="str">
        <v/>
      </c>
      <c r="AM18" s="1" t="str">
        <v>nem</v>
      </c>
      <c r="AN18" s="1" t="str">
        <v>nem</v>
      </c>
      <c r="AO18" s="1" t="b">
        <v>1</v>
      </c>
      <c r="AP18" s="1" t="str">
        <v>-</v>
      </c>
      <c r="AQ18" s="1" t="str">
        <v>-</v>
      </c>
      <c r="AR18" s="1" t="str">
        <v>-</v>
      </c>
      <c r="AS18" s="1"/>
    </row>
    <row r="19" spans="1:45" s="8" customFormat="1" ht="27.75" customHeight="1" x14ac:dyDescent="0.25">
      <c r="A19" s="1">
        <v>18</v>
      </c>
      <c r="B19" s="10" t="str">
        <v>Camila Silva</v>
      </c>
      <c r="C19" s="1" t="str">
        <v>1980.03.24.</v>
      </c>
      <c r="D19" s="1" t="str">
        <v>O</v>
      </c>
      <c r="E19" s="1" t="str">
        <v>O</v>
      </c>
      <c r="F19" s="1" t="str">
        <v>BNT</v>
      </c>
      <c r="G19" s="14">
        <v>17</v>
      </c>
      <c r="H19" s="14">
        <v>3</v>
      </c>
      <c r="I19" s="14"/>
      <c r="J19" s="15"/>
      <c r="K19" s="15"/>
      <c r="L19" s="1" t="str">
        <v>nem</v>
      </c>
      <c r="M19" s="1" t="str">
        <v/>
      </c>
      <c r="N19" s="1" t="str">
        <v>nem</v>
      </c>
      <c r="O19" s="1" t="str">
        <v>nem</v>
      </c>
      <c r="P19" s="1" t="str">
        <v>nem</v>
      </c>
      <c r="Q19" s="1" t="str">
        <v>NFM</v>
      </c>
      <c r="R19" s="1" t="str">
        <v>NFM</v>
      </c>
      <c r="S19" s="1" t="str">
        <v>NFM</v>
      </c>
      <c r="T19" s="1" t="str">
        <v>NFM</v>
      </c>
      <c r="U19" s="1" t="str">
        <v>JV</v>
      </c>
      <c r="V19" s="1" t="str">
        <v>-</v>
      </c>
      <c r="W19" s="1" t="str">
        <v>igen</v>
      </c>
      <c r="X19" s="1" t="str">
        <v>nem</v>
      </c>
      <c r="Y19" s="1" t="str">
        <v>nem</v>
      </c>
      <c r="Z19" s="1" t="str">
        <v>nem</v>
      </c>
      <c r="AA19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9" s="1"/>
      <c r="AC19" s="1" t="b">
        <v>1</v>
      </c>
      <c r="AD19" s="1" t="str">
        <v>nem</v>
      </c>
      <c r="AE19" s="1" t="str">
        <v>nem</v>
      </c>
      <c r="AF19" s="1" t="b">
        <v>1</v>
      </c>
      <c r="AG19" s="1" t="str">
        <v>nem</v>
      </c>
      <c r="AH19" s="1" t="str">
        <v>nem</v>
      </c>
      <c r="AI19" s="1" t="b">
        <v>0</v>
      </c>
      <c r="AJ19" s="1" t="str">
        <v>nem</v>
      </c>
      <c r="AK19" s="1" t="str">
        <v>nem</v>
      </c>
      <c r="AL19" s="1" t="str">
        <v/>
      </c>
      <c r="AM19" s="1" t="str">
        <v>nem</v>
      </c>
      <c r="AN19" s="1" t="str">
        <v>nem</v>
      </c>
      <c r="AO19" s="1" t="b">
        <v>1</v>
      </c>
      <c r="AP19" s="1" t="str">
        <v>JV</v>
      </c>
      <c r="AQ19" s="1" t="str">
        <v>JV</v>
      </c>
      <c r="AR19" s="1" t="str">
        <v>JV</v>
      </c>
      <c r="AS19" s="1"/>
    </row>
    <row r="20" spans="1:45" s="8" customFormat="1" ht="27.75" customHeight="1" x14ac:dyDescent="0.25">
      <c r="A20" s="1">
        <v>19</v>
      </c>
      <c r="B20" s="10" t="str">
        <v>David Barnes</v>
      </c>
      <c r="C20" s="1" t="str">
        <v>1990.05.24.</v>
      </c>
      <c r="D20" s="1" t="str">
        <v>O</v>
      </c>
      <c r="E20" s="1" t="str">
        <v>O</v>
      </c>
      <c r="F20" s="1" t="str">
        <v>BNT</v>
      </c>
      <c r="G20" s="14" t="s">
        <v>109</v>
      </c>
      <c r="H20" s="14" t="s">
        <v>109</v>
      </c>
      <c r="I20" s="14"/>
      <c r="J20" s="15"/>
      <c r="K20" s="15"/>
      <c r="L20" s="1" t="str">
        <v>nem</v>
      </c>
      <c r="M20" s="1" t="str">
        <v/>
      </c>
      <c r="N20" s="1" t="str">
        <v>nem</v>
      </c>
      <c r="O20" s="1" t="str">
        <v>nem</v>
      </c>
      <c r="P20" s="1" t="str">
        <v>nem</v>
      </c>
      <c r="Q20" s="1" t="str">
        <v>JV</v>
      </c>
      <c r="R20" s="1" t="str">
        <v>-</v>
      </c>
      <c r="S20" s="1" t="str">
        <v>JV</v>
      </c>
      <c r="T20" s="1" t="str">
        <v>-</v>
      </c>
      <c r="U20" s="1" t="str">
        <v>JV</v>
      </c>
      <c r="V20" s="1" t="str">
        <v>-</v>
      </c>
      <c r="W20" s="1" t="str">
        <v>nem</v>
      </c>
      <c r="X20" s="1" t="str">
        <v>nem</v>
      </c>
      <c r="Y20" s="1" t="str">
        <v>nem</v>
      </c>
      <c r="Z20" s="1" t="str">
        <v>nem</v>
      </c>
      <c r="AA20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0" s="1"/>
      <c r="AC20" s="1" t="b">
        <v>0</v>
      </c>
      <c r="AD20" s="1" t="str">
        <v>igen</v>
      </c>
      <c r="AE20" s="1" t="str">
        <v>nem</v>
      </c>
      <c r="AF20" s="1" t="b">
        <v>0</v>
      </c>
      <c r="AG20" s="1" t="str">
        <v>igen</v>
      </c>
      <c r="AH20" s="1" t="str">
        <v>nem</v>
      </c>
      <c r="AI20" s="1" t="b">
        <v>0</v>
      </c>
      <c r="AJ20" s="1" t="str">
        <v>nem</v>
      </c>
      <c r="AK20" s="1" t="str">
        <v>nem</v>
      </c>
      <c r="AL20" s="1" t="str">
        <v/>
      </c>
      <c r="AM20" s="1" t="str">
        <v>nem</v>
      </c>
      <c r="AN20" s="1" t="str">
        <v>igen</v>
      </c>
      <c r="AO20" s="1" t="b">
        <v>1</v>
      </c>
      <c r="AP20" s="1" t="str">
        <v>JV</v>
      </c>
      <c r="AQ20" s="1" t="str">
        <v>JV</v>
      </c>
      <c r="AR20" s="1" t="str">
        <v>JV</v>
      </c>
      <c r="AS20" s="1"/>
    </row>
    <row r="21" spans="1:45" s="8" customFormat="1" ht="27.75" customHeight="1" x14ac:dyDescent="0.25">
      <c r="A21" s="1">
        <v>20</v>
      </c>
      <c r="B21" s="10" t="str">
        <v>Adam Dang</v>
      </c>
      <c r="C21" s="1" t="str">
        <v>2000.12.29.</v>
      </c>
      <c r="D21" s="1" t="str">
        <v>FM</v>
      </c>
      <c r="E21" s="1" t="str">
        <v>FM</v>
      </c>
      <c r="F21" s="1" t="str">
        <v>FM</v>
      </c>
      <c r="G21" s="14"/>
      <c r="H21" s="14"/>
      <c r="I21" s="14"/>
      <c r="J21" s="15"/>
      <c r="K21" s="15"/>
      <c r="L21" s="1" t="str">
        <v>igen</v>
      </c>
      <c r="M21" s="1" t="str">
        <v/>
      </c>
      <c r="N21" s="1" t="str">
        <v>igen</v>
      </c>
      <c r="O21" s="1" t="str">
        <v>igen</v>
      </c>
      <c r="P21" s="1" t="str">
        <v>igen</v>
      </c>
      <c r="Q21" s="1" t="str">
        <v>MF</v>
      </c>
      <c r="R21" s="1" t="str">
        <v>-</v>
      </c>
      <c r="S21" s="1" t="str">
        <v>MF</v>
      </c>
      <c r="T21" s="1" t="str">
        <v>-</v>
      </c>
      <c r="U21" s="1" t="str">
        <v>MF</v>
      </c>
      <c r="V21" s="1" t="str">
        <v>-</v>
      </c>
      <c r="W21" s="1" t="str">
        <v>nem</v>
      </c>
      <c r="X21" s="1" t="str">
        <v>nem</v>
      </c>
      <c r="Y21" s="1" t="str">
        <v>nem</v>
      </c>
      <c r="Z21" s="1" t="str">
        <v>nem</v>
      </c>
      <c r="AA21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1" s="1"/>
      <c r="AC21" s="1" t="b">
        <v>0</v>
      </c>
      <c r="AD21" s="1" t="str">
        <v>nem</v>
      </c>
      <c r="AE21" s="1" t="str">
        <v>nem</v>
      </c>
      <c r="AF21" s="1" t="b">
        <v>0</v>
      </c>
      <c r="AG21" s="1" t="str">
        <v>nem</v>
      </c>
      <c r="AH21" s="1" t="str">
        <v>nem</v>
      </c>
      <c r="AI21" s="1" t="b">
        <v>0</v>
      </c>
      <c r="AJ21" s="1" t="str">
        <v>nem</v>
      </c>
      <c r="AK21" s="1" t="str">
        <v>nem</v>
      </c>
      <c r="AL21" s="1" t="str">
        <v/>
      </c>
      <c r="AM21" s="1" t="str">
        <v>nem</v>
      </c>
      <c r="AN21" s="1" t="str">
        <v>nem</v>
      </c>
      <c r="AO21" s="1" t="b">
        <v>1</v>
      </c>
      <c r="AP21" s="1" t="str">
        <v>-</v>
      </c>
      <c r="AQ21" s="1" t="str">
        <v>-</v>
      </c>
      <c r="AR21" s="1" t="str">
        <v>-</v>
      </c>
      <c r="AS21" s="1"/>
    </row>
    <row r="22" spans="1:45" s="8" customFormat="1" ht="27.75" customHeight="1" x14ac:dyDescent="0.25">
      <c r="A22" s="1">
        <v>21</v>
      </c>
      <c r="B22" s="10" t="str">
        <v>Elias Alvarado</v>
      </c>
      <c r="C22" s="1" t="str">
        <v>1970.11.17.</v>
      </c>
      <c r="D22" s="1" t="str">
        <v>O</v>
      </c>
      <c r="E22" s="1" t="str">
        <v>O</v>
      </c>
      <c r="F22" s="1" t="str">
        <v>O</v>
      </c>
      <c r="G22" s="14">
        <v>62</v>
      </c>
      <c r="H22" s="14">
        <v>85</v>
      </c>
      <c r="I22" s="14">
        <v>86</v>
      </c>
      <c r="J22" s="15"/>
      <c r="K22" s="15">
        <v>86</v>
      </c>
      <c r="L22" s="1" t="str">
        <v>igen</v>
      </c>
      <c r="M22" s="1">
        <v>86</v>
      </c>
      <c r="N22" s="1" t="str">
        <v>igen</v>
      </c>
      <c r="O22" s="1" t="str">
        <v>igen</v>
      </c>
      <c r="P22" s="1" t="str">
        <v>igen</v>
      </c>
      <c r="Q22" s="1" t="str">
        <v>MF</v>
      </c>
      <c r="R22" s="1" t="str">
        <v>MF</v>
      </c>
      <c r="S22" s="1" t="str">
        <v>MF</v>
      </c>
      <c r="T22" s="1" t="str">
        <v>MF</v>
      </c>
      <c r="U22" s="1" t="str">
        <v>MF</v>
      </c>
      <c r="V22" s="1" t="str">
        <v>MF</v>
      </c>
      <c r="W22" s="1" t="str">
        <v>igen</v>
      </c>
      <c r="X22" s="1" t="str">
        <v>nem</v>
      </c>
      <c r="Y22" s="1" t="str">
        <v>nem</v>
      </c>
      <c r="Z22" s="1" t="str">
        <v>nem</v>
      </c>
      <c r="AA22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2" s="1"/>
      <c r="AC22" s="1" t="b">
        <v>1</v>
      </c>
      <c r="AD22" s="1" t="str">
        <v>nem</v>
      </c>
      <c r="AE22" s="1" t="str">
        <v>nem</v>
      </c>
      <c r="AF22" s="1" t="b">
        <v>1</v>
      </c>
      <c r="AG22" s="1" t="str">
        <v>nem</v>
      </c>
      <c r="AH22" s="1" t="str">
        <v>nem</v>
      </c>
      <c r="AI22" s="1" t="b">
        <v>1</v>
      </c>
      <c r="AJ22" s="1" t="str">
        <v>nem</v>
      </c>
      <c r="AK22" s="1" t="str">
        <v>nem</v>
      </c>
      <c r="AL22" s="1" t="str">
        <v/>
      </c>
      <c r="AM22" s="1" t="str">
        <v>nem</v>
      </c>
      <c r="AN22" s="1" t="str">
        <v>nem</v>
      </c>
      <c r="AO22" s="1" t="b">
        <v>1</v>
      </c>
      <c r="AP22" s="1" t="str">
        <v>-</v>
      </c>
      <c r="AQ22" s="1" t="str">
        <v>-</v>
      </c>
      <c r="AR22" s="1" t="str">
        <v>-</v>
      </c>
      <c r="AS22" s="1"/>
    </row>
    <row r="23" spans="1:45" s="8" customFormat="1" ht="27.75" customHeight="1" x14ac:dyDescent="0.25">
      <c r="A23" s="1">
        <v>22</v>
      </c>
      <c r="B23" s="10" t="str">
        <v>Eva Rivera</v>
      </c>
      <c r="C23" s="1" t="str">
        <v>1995.02.07.</v>
      </c>
      <c r="D23" s="1" t="str">
        <v>O</v>
      </c>
      <c r="E23" s="1" t="str">
        <v>O</v>
      </c>
      <c r="F23" s="1" t="str">
        <v>BNT</v>
      </c>
      <c r="G23" s="14">
        <v>40</v>
      </c>
      <c r="H23" s="14">
        <v>79</v>
      </c>
      <c r="I23" s="14"/>
      <c r="J23" s="15"/>
      <c r="K23" s="15"/>
      <c r="L23" s="1" t="str">
        <v>nem</v>
      </c>
      <c r="M23" s="1" t="str">
        <v/>
      </c>
      <c r="N23" s="1" t="str">
        <v>nem</v>
      </c>
      <c r="O23" s="1" t="str">
        <v>nem</v>
      </c>
      <c r="P23" s="1" t="str">
        <v>igen</v>
      </c>
      <c r="Q23" s="1" t="str">
        <v>NFM</v>
      </c>
      <c r="R23" s="1" t="str">
        <v>NFM</v>
      </c>
      <c r="S23" s="1" t="str">
        <v>MF</v>
      </c>
      <c r="T23" s="1" t="str">
        <v>MF</v>
      </c>
      <c r="U23" s="1" t="str">
        <v>JV</v>
      </c>
      <c r="V23" s="1" t="str">
        <v>-</v>
      </c>
      <c r="W23" s="1" t="str">
        <v>igen</v>
      </c>
      <c r="X23" s="1" t="str">
        <v>nem</v>
      </c>
      <c r="Y23" s="1" t="str">
        <v>nem</v>
      </c>
      <c r="Z23" s="1" t="str">
        <v>nem</v>
      </c>
      <c r="AA23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3" s="1"/>
      <c r="AC23" s="1" t="b">
        <v>1</v>
      </c>
      <c r="AD23" s="1" t="str">
        <v>nem</v>
      </c>
      <c r="AE23" s="1" t="str">
        <v>nem</v>
      </c>
      <c r="AF23" s="1" t="b">
        <v>1</v>
      </c>
      <c r="AG23" s="1" t="str">
        <v>nem</v>
      </c>
      <c r="AH23" s="1" t="str">
        <v>nem</v>
      </c>
      <c r="AI23" s="1" t="b">
        <v>0</v>
      </c>
      <c r="AJ23" s="1" t="str">
        <v>nem</v>
      </c>
      <c r="AK23" s="1" t="str">
        <v>nem</v>
      </c>
      <c r="AL23" s="1" t="str">
        <v/>
      </c>
      <c r="AM23" s="1" t="str">
        <v>nem</v>
      </c>
      <c r="AN23" s="1" t="str">
        <v>nem</v>
      </c>
      <c r="AO23" s="1" t="b">
        <v>1</v>
      </c>
      <c r="AP23" s="1" t="str">
        <v>JV</v>
      </c>
      <c r="AQ23" s="1" t="str">
        <v>-</v>
      </c>
      <c r="AR23" s="1" t="str">
        <v>JV</v>
      </c>
      <c r="AS23" s="1"/>
    </row>
    <row r="24" spans="1:45" s="8" customFormat="1" ht="27.75" customHeight="1" x14ac:dyDescent="0.25">
      <c r="A24" s="1">
        <v>23</v>
      </c>
      <c r="B24" s="10" t="str">
        <v>Logan Rivera</v>
      </c>
      <c r="C24" s="1" t="str">
        <v>1986.03.21.</v>
      </c>
      <c r="D24" s="1" t="str">
        <v>O</v>
      </c>
      <c r="E24" s="1" t="str">
        <v>O</v>
      </c>
      <c r="F24" s="1" t="str">
        <v>BNT</v>
      </c>
      <c r="G24" s="14">
        <v>52</v>
      </c>
      <c r="H24" s="14">
        <v>61</v>
      </c>
      <c r="I24" s="14"/>
      <c r="J24" s="15"/>
      <c r="K24" s="15"/>
      <c r="L24" s="1" t="str">
        <v>nem</v>
      </c>
      <c r="M24" s="1" t="str">
        <v/>
      </c>
      <c r="N24" s="1" t="str">
        <v>nem</v>
      </c>
      <c r="O24" s="1" t="str">
        <v>nem</v>
      </c>
      <c r="P24" s="1" t="str">
        <v>igen</v>
      </c>
      <c r="Q24" s="1" t="str">
        <v>NFM</v>
      </c>
      <c r="R24" s="1" t="str">
        <v>NFM</v>
      </c>
      <c r="S24" s="1" t="str">
        <v>MF</v>
      </c>
      <c r="T24" s="1" t="str">
        <v>MF</v>
      </c>
      <c r="U24" s="1" t="str">
        <v>JV</v>
      </c>
      <c r="V24" s="1" t="str">
        <v>-</v>
      </c>
      <c r="W24" s="1" t="str">
        <v>igen</v>
      </c>
      <c r="X24" s="1" t="str">
        <v>nem</v>
      </c>
      <c r="Y24" s="1" t="str">
        <v>nem</v>
      </c>
      <c r="Z24" s="1" t="str">
        <v>nem</v>
      </c>
      <c r="AA24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4" s="1"/>
      <c r="AC24" s="1" t="b">
        <v>1</v>
      </c>
      <c r="AD24" s="1" t="str">
        <v>nem</v>
      </c>
      <c r="AE24" s="1" t="str">
        <v>nem</v>
      </c>
      <c r="AF24" s="1" t="b">
        <v>1</v>
      </c>
      <c r="AG24" s="1" t="str">
        <v>nem</v>
      </c>
      <c r="AH24" s="1" t="str">
        <v>nem</v>
      </c>
      <c r="AI24" s="1" t="b">
        <v>0</v>
      </c>
      <c r="AJ24" s="1" t="str">
        <v>nem</v>
      </c>
      <c r="AK24" s="1" t="str">
        <v>nem</v>
      </c>
      <c r="AL24" s="1" t="str">
        <v/>
      </c>
      <c r="AM24" s="1" t="str">
        <v>nem</v>
      </c>
      <c r="AN24" s="1" t="str">
        <v>nem</v>
      </c>
      <c r="AO24" s="1" t="b">
        <v>1</v>
      </c>
      <c r="AP24" s="1" t="str">
        <v>JV</v>
      </c>
      <c r="AQ24" s="1" t="str">
        <v>-</v>
      </c>
      <c r="AR24" s="1" t="str">
        <v>JV</v>
      </c>
      <c r="AS24" s="1"/>
    </row>
    <row r="25" spans="1:45" s="8" customFormat="1" ht="27.75" customHeight="1" x14ac:dyDescent="0.25">
      <c r="A25" s="1">
        <v>24</v>
      </c>
      <c r="B25" s="10" t="str">
        <v>Leonardo Dixon</v>
      </c>
      <c r="C25" s="1" t="str">
        <v>1977.11.04.</v>
      </c>
      <c r="D25" s="1" t="str">
        <v>O</v>
      </c>
      <c r="E25" s="1" t="str">
        <v>O</v>
      </c>
      <c r="F25" s="1" t="str">
        <v>BNT</v>
      </c>
      <c r="G25" s="14">
        <v>33</v>
      </c>
      <c r="H25" s="14" t="s">
        <v>109</v>
      </c>
      <c r="I25" s="14"/>
      <c r="J25" s="15"/>
      <c r="K25" s="15"/>
      <c r="L25" s="1" t="str">
        <v>nem</v>
      </c>
      <c r="M25" s="1" t="str">
        <v/>
      </c>
      <c r="N25" s="1" t="str">
        <v>nem</v>
      </c>
      <c r="O25" s="1" t="str">
        <v>nem</v>
      </c>
      <c r="P25" s="1" t="str">
        <v>nem</v>
      </c>
      <c r="Q25" s="1" t="str">
        <v>NFM</v>
      </c>
      <c r="R25" s="1" t="str">
        <v>NFM</v>
      </c>
      <c r="S25" s="1" t="str">
        <v>JV</v>
      </c>
      <c r="T25" s="1" t="str">
        <v>-</v>
      </c>
      <c r="U25" s="1" t="str">
        <v>JV</v>
      </c>
      <c r="V25" s="1" t="str">
        <v>-</v>
      </c>
      <c r="W25" s="1" t="str">
        <v>igen</v>
      </c>
      <c r="X25" s="1" t="str">
        <v>nem</v>
      </c>
      <c r="Y25" s="1" t="str">
        <v>nem</v>
      </c>
      <c r="Z25" s="1" t="str">
        <v>nem</v>
      </c>
      <c r="AA25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5" s="1"/>
      <c r="AC25" s="1" t="b">
        <v>1</v>
      </c>
      <c r="AD25" s="1" t="str">
        <v>nem</v>
      </c>
      <c r="AE25" s="1" t="str">
        <v>nem</v>
      </c>
      <c r="AF25" s="1" t="b">
        <v>0</v>
      </c>
      <c r="AG25" s="1" t="str">
        <v>igen</v>
      </c>
      <c r="AH25" s="1" t="str">
        <v>nem</v>
      </c>
      <c r="AI25" s="1" t="b">
        <v>0</v>
      </c>
      <c r="AJ25" s="1" t="str">
        <v>nem</v>
      </c>
      <c r="AK25" s="1" t="str">
        <v>nem</v>
      </c>
      <c r="AL25" s="1" t="str">
        <v/>
      </c>
      <c r="AM25" s="1" t="str">
        <v>nem</v>
      </c>
      <c r="AN25" s="1" t="str">
        <v>igen</v>
      </c>
      <c r="AO25" s="1" t="b">
        <v>1</v>
      </c>
      <c r="AP25" s="1" t="str">
        <v>JV</v>
      </c>
      <c r="AQ25" s="1" t="str">
        <v>JV</v>
      </c>
      <c r="AR25" s="1" t="str">
        <v>JV</v>
      </c>
      <c r="AS25" s="1"/>
    </row>
    <row r="26" spans="1:45" s="8" customFormat="1" ht="27.75" customHeight="1" x14ac:dyDescent="0.25">
      <c r="A26" s="1">
        <v>25</v>
      </c>
      <c r="B26" s="10" t="str">
        <v>Mateo Her</v>
      </c>
      <c r="C26" s="1" t="str">
        <v>1970.07.06.</v>
      </c>
      <c r="D26" s="1" t="str">
        <v>O</v>
      </c>
      <c r="E26" s="1" t="str">
        <v>O</v>
      </c>
      <c r="F26" s="1" t="str">
        <v>BNT</v>
      </c>
      <c r="G26" s="14" t="s">
        <v>109</v>
      </c>
      <c r="H26" s="14" t="s">
        <v>109</v>
      </c>
      <c r="I26" s="14"/>
      <c r="J26" s="15"/>
      <c r="K26" s="15"/>
      <c r="L26" s="1" t="str">
        <v>nem</v>
      </c>
      <c r="M26" s="1" t="str">
        <v/>
      </c>
      <c r="N26" s="1" t="str">
        <v>nem</v>
      </c>
      <c r="O26" s="1" t="str">
        <v>nem</v>
      </c>
      <c r="P26" s="1" t="str">
        <v>nem</v>
      </c>
      <c r="Q26" s="1" t="str">
        <v>JV</v>
      </c>
      <c r="R26" s="1" t="str">
        <v>-</v>
      </c>
      <c r="S26" s="1" t="str">
        <v>JV</v>
      </c>
      <c r="T26" s="1" t="str">
        <v>-</v>
      </c>
      <c r="U26" s="1" t="str">
        <v>JV</v>
      </c>
      <c r="V26" s="1" t="str">
        <v>-</v>
      </c>
      <c r="W26" s="1" t="str">
        <v>nem</v>
      </c>
      <c r="X26" s="1" t="str">
        <v>nem</v>
      </c>
      <c r="Y26" s="1" t="str">
        <v>nem</v>
      </c>
      <c r="Z26" s="1" t="str">
        <v>nem</v>
      </c>
      <c r="AA26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6" s="1"/>
      <c r="AC26" s="1" t="b">
        <v>0</v>
      </c>
      <c r="AD26" s="1" t="str">
        <v>igen</v>
      </c>
      <c r="AE26" s="1" t="str">
        <v>nem</v>
      </c>
      <c r="AF26" s="1" t="b">
        <v>0</v>
      </c>
      <c r="AG26" s="1" t="str">
        <v>igen</v>
      </c>
      <c r="AH26" s="1" t="str">
        <v>nem</v>
      </c>
      <c r="AI26" s="1" t="b">
        <v>0</v>
      </c>
      <c r="AJ26" s="1" t="str">
        <v>nem</v>
      </c>
      <c r="AK26" s="1" t="str">
        <v>nem</v>
      </c>
      <c r="AL26" s="1" t="str">
        <v/>
      </c>
      <c r="AM26" s="1" t="str">
        <v>nem</v>
      </c>
      <c r="AN26" s="1" t="str">
        <v>igen</v>
      </c>
      <c r="AO26" s="1" t="b">
        <v>1</v>
      </c>
      <c r="AP26" s="1" t="str">
        <v>JV</v>
      </c>
      <c r="AQ26" s="1" t="str">
        <v>JV</v>
      </c>
      <c r="AR26" s="1" t="str">
        <v>JV</v>
      </c>
      <c r="AS26" s="1"/>
    </row>
    <row r="27" spans="1:45" s="8" customFormat="1" ht="27.75" customHeight="1" x14ac:dyDescent="0.25">
      <c r="A27" s="1">
        <v>26</v>
      </c>
      <c r="B27" s="10" t="str">
        <v>Jose Henderson</v>
      </c>
      <c r="C27" s="1" t="str">
        <v>1977.07.04.</v>
      </c>
      <c r="D27" s="1" t="str">
        <v>O</v>
      </c>
      <c r="E27" s="1" t="str">
        <v>O</v>
      </c>
      <c r="F27" s="1" t="str">
        <v>BNT</v>
      </c>
      <c r="G27" s="14">
        <v>50</v>
      </c>
      <c r="H27" s="14" t="s">
        <v>109</v>
      </c>
      <c r="I27" s="14"/>
      <c r="J27" s="15"/>
      <c r="K27" s="15"/>
      <c r="L27" s="1" t="str">
        <v>nem</v>
      </c>
      <c r="M27" s="1" t="str">
        <v/>
      </c>
      <c r="N27" s="1" t="str">
        <v>nem</v>
      </c>
      <c r="O27" s="1" t="str">
        <v>nem</v>
      </c>
      <c r="P27" s="1" t="str">
        <v>nem</v>
      </c>
      <c r="Q27" s="1" t="str">
        <v>NFM</v>
      </c>
      <c r="R27" s="1" t="str">
        <v>NFM</v>
      </c>
      <c r="S27" s="1" t="str">
        <v>JV</v>
      </c>
      <c r="T27" s="1" t="str">
        <v>-</v>
      </c>
      <c r="U27" s="1" t="str">
        <v>JV</v>
      </c>
      <c r="V27" s="1" t="str">
        <v>-</v>
      </c>
      <c r="W27" s="1" t="str">
        <v>igen</v>
      </c>
      <c r="X27" s="1" t="str">
        <v>nem</v>
      </c>
      <c r="Y27" s="1" t="str">
        <v>nem</v>
      </c>
      <c r="Z27" s="1" t="str">
        <v>nem</v>
      </c>
      <c r="AA27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7" s="1"/>
      <c r="AC27" s="1" t="b">
        <v>1</v>
      </c>
      <c r="AD27" s="1" t="str">
        <v>nem</v>
      </c>
      <c r="AE27" s="1" t="str">
        <v>nem</v>
      </c>
      <c r="AF27" s="1" t="b">
        <v>0</v>
      </c>
      <c r="AG27" s="1" t="str">
        <v>igen</v>
      </c>
      <c r="AH27" s="1" t="str">
        <v>nem</v>
      </c>
      <c r="AI27" s="1" t="b">
        <v>0</v>
      </c>
      <c r="AJ27" s="1" t="str">
        <v>nem</v>
      </c>
      <c r="AK27" s="1" t="str">
        <v>nem</v>
      </c>
      <c r="AL27" s="1" t="str">
        <v/>
      </c>
      <c r="AM27" s="1" t="str">
        <v>nem</v>
      </c>
      <c r="AN27" s="1" t="str">
        <v>igen</v>
      </c>
      <c r="AO27" s="1" t="b">
        <v>1</v>
      </c>
      <c r="AP27" s="1" t="str">
        <v>JV</v>
      </c>
      <c r="AQ27" s="1" t="str">
        <v>JV</v>
      </c>
      <c r="AR27" s="1" t="str">
        <v>JV</v>
      </c>
      <c r="AS27" s="1"/>
    </row>
    <row r="28" spans="1:45" s="8" customFormat="1" ht="27.75" customHeight="1" x14ac:dyDescent="0.25">
      <c r="A28" s="1">
        <v>27</v>
      </c>
      <c r="B28" s="10" t="str">
        <v>Abigail Mejia</v>
      </c>
      <c r="C28" s="1" t="str">
        <v>1980.10.11.</v>
      </c>
      <c r="D28" s="1" t="str">
        <v>O</v>
      </c>
      <c r="E28" s="1" t="str">
        <v>O</v>
      </c>
      <c r="F28" s="1" t="str">
        <v>BNT</v>
      </c>
      <c r="G28" s="14">
        <v>45</v>
      </c>
      <c r="H28" s="14">
        <v>86</v>
      </c>
      <c r="I28" s="14"/>
      <c r="J28" s="15"/>
      <c r="K28" s="15"/>
      <c r="L28" s="1" t="str">
        <v>nem</v>
      </c>
      <c r="M28" s="1" t="str">
        <v/>
      </c>
      <c r="N28" s="1" t="str">
        <v>nem</v>
      </c>
      <c r="O28" s="1" t="str">
        <v>nem</v>
      </c>
      <c r="P28" s="1" t="str">
        <v>igen</v>
      </c>
      <c r="Q28" s="1" t="str">
        <v>NFM</v>
      </c>
      <c r="R28" s="1" t="str">
        <v>NFM</v>
      </c>
      <c r="S28" s="1" t="str">
        <v>MF</v>
      </c>
      <c r="T28" s="1" t="str">
        <v>MF</v>
      </c>
      <c r="U28" s="1" t="str">
        <v>JV</v>
      </c>
      <c r="V28" s="1" t="str">
        <v>-</v>
      </c>
      <c r="W28" s="1" t="str">
        <v>igen</v>
      </c>
      <c r="X28" s="1" t="str">
        <v>nem</v>
      </c>
      <c r="Y28" s="1" t="str">
        <v>nem</v>
      </c>
      <c r="Z28" s="1" t="str">
        <v>nem</v>
      </c>
      <c r="AA28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8" s="1"/>
      <c r="AC28" s="1" t="b">
        <v>1</v>
      </c>
      <c r="AD28" s="1" t="str">
        <v>nem</v>
      </c>
      <c r="AE28" s="1" t="str">
        <v>nem</v>
      </c>
      <c r="AF28" s="1" t="b">
        <v>1</v>
      </c>
      <c r="AG28" s="1" t="str">
        <v>nem</v>
      </c>
      <c r="AH28" s="1" t="str">
        <v>nem</v>
      </c>
      <c r="AI28" s="1" t="b">
        <v>0</v>
      </c>
      <c r="AJ28" s="1" t="str">
        <v>nem</v>
      </c>
      <c r="AK28" s="1" t="str">
        <v>nem</v>
      </c>
      <c r="AL28" s="1" t="str">
        <v/>
      </c>
      <c r="AM28" s="1" t="str">
        <v>nem</v>
      </c>
      <c r="AN28" s="1" t="str">
        <v>nem</v>
      </c>
      <c r="AO28" s="1" t="b">
        <v>1</v>
      </c>
      <c r="AP28" s="1" t="str">
        <v>JV</v>
      </c>
      <c r="AQ28" s="1" t="str">
        <v>-</v>
      </c>
      <c r="AR28" s="1" t="str">
        <v>JV</v>
      </c>
      <c r="AS28" s="1"/>
    </row>
    <row r="29" spans="1:45" s="8" customFormat="1" ht="27.75" customHeight="1" x14ac:dyDescent="0.25">
      <c r="A29" s="1">
        <v>28</v>
      </c>
      <c r="B29" s="10" t="str">
        <v>Wyatt Chin</v>
      </c>
      <c r="C29" s="1" t="str">
        <v>1979.07.05.</v>
      </c>
      <c r="D29" s="1" t="str">
        <v>O</v>
      </c>
      <c r="E29" s="1" t="str">
        <v>O</v>
      </c>
      <c r="F29" s="1" t="str">
        <v>O</v>
      </c>
      <c r="G29" s="14">
        <v>60</v>
      </c>
      <c r="H29" s="14">
        <v>76</v>
      </c>
      <c r="I29" s="14">
        <v>64</v>
      </c>
      <c r="J29" s="15"/>
      <c r="K29" s="15">
        <v>64</v>
      </c>
      <c r="L29" s="1" t="str">
        <v>igen</v>
      </c>
      <c r="M29" s="1">
        <v>64</v>
      </c>
      <c r="N29" s="1" t="str">
        <v>igen</v>
      </c>
      <c r="O29" s="1" t="str">
        <v>igen</v>
      </c>
      <c r="P29" s="1" t="str">
        <v>igen</v>
      </c>
      <c r="Q29" s="1" t="str">
        <v>MF</v>
      </c>
      <c r="R29" s="1" t="str">
        <v>MF</v>
      </c>
      <c r="S29" s="1" t="str">
        <v>MF</v>
      </c>
      <c r="T29" s="1" t="str">
        <v>MF</v>
      </c>
      <c r="U29" s="1" t="str">
        <v>MF</v>
      </c>
      <c r="V29" s="1" t="str">
        <v>MF</v>
      </c>
      <c r="W29" s="1" t="str">
        <v>igen</v>
      </c>
      <c r="X29" s="1" t="str">
        <v>nem</v>
      </c>
      <c r="Y29" s="1" t="str">
        <v>nem</v>
      </c>
      <c r="Z29" s="1" t="str">
        <v>nem</v>
      </c>
      <c r="AA29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9" s="1"/>
      <c r="AC29" s="1" t="b">
        <v>1</v>
      </c>
      <c r="AD29" s="1" t="str">
        <v>nem</v>
      </c>
      <c r="AE29" s="1" t="str">
        <v>nem</v>
      </c>
      <c r="AF29" s="1" t="b">
        <v>1</v>
      </c>
      <c r="AG29" s="1" t="str">
        <v>nem</v>
      </c>
      <c r="AH29" s="1" t="str">
        <v>nem</v>
      </c>
      <c r="AI29" s="1" t="b">
        <v>1</v>
      </c>
      <c r="AJ29" s="1" t="str">
        <v>nem</v>
      </c>
      <c r="AK29" s="1" t="str">
        <v>nem</v>
      </c>
      <c r="AL29" s="1" t="str">
        <v/>
      </c>
      <c r="AM29" s="1" t="str">
        <v>nem</v>
      </c>
      <c r="AN29" s="1" t="str">
        <v>nem</v>
      </c>
      <c r="AO29" s="1" t="b">
        <v>1</v>
      </c>
      <c r="AP29" s="1" t="str">
        <v>-</v>
      </c>
      <c r="AQ29" s="1" t="str">
        <v>-</v>
      </c>
      <c r="AR29" s="1" t="str">
        <v>-</v>
      </c>
      <c r="AS29" s="1"/>
    </row>
    <row r="30" spans="1:45" s="8" customFormat="1" ht="27.75" customHeight="1" x14ac:dyDescent="0.25">
      <c r="A30" s="1">
        <v>29</v>
      </c>
      <c r="B30" s="10" t="str">
        <v>Carson Lu</v>
      </c>
      <c r="C30" s="1" t="str">
        <v>2002.01.06.</v>
      </c>
      <c r="D30" s="1" t="str">
        <v>O</v>
      </c>
      <c r="E30" s="1" t="str">
        <v>O</v>
      </c>
      <c r="F30" s="1" t="str">
        <v>O</v>
      </c>
      <c r="G30" s="14">
        <v>60</v>
      </c>
      <c r="H30" s="14">
        <v>81</v>
      </c>
      <c r="I30" s="14">
        <v>70</v>
      </c>
      <c r="J30" s="15"/>
      <c r="K30" s="15"/>
      <c r="L30" s="1" t="str">
        <v>igen</v>
      </c>
      <c r="M30" s="1" t="str">
        <v/>
      </c>
      <c r="N30" s="1" t="str">
        <v>igen</v>
      </c>
      <c r="O30" s="1" t="str">
        <v>igen</v>
      </c>
      <c r="P30" s="1" t="str">
        <v>igen</v>
      </c>
      <c r="Q30" s="1" t="str">
        <v>MF</v>
      </c>
      <c r="R30" s="1" t="str">
        <v>MF</v>
      </c>
      <c r="S30" s="1" t="str">
        <v>MF</v>
      </c>
      <c r="T30" s="1" t="str">
        <v>MF</v>
      </c>
      <c r="U30" s="1" t="str">
        <v>MF</v>
      </c>
      <c r="V30" s="1" t="str">
        <v>MF</v>
      </c>
      <c r="W30" s="1" t="str">
        <v>igen</v>
      </c>
      <c r="X30" s="1" t="str">
        <v>nem</v>
      </c>
      <c r="Y30" s="1" t="str">
        <v>nem</v>
      </c>
      <c r="Z30" s="1" t="str">
        <v>nem</v>
      </c>
      <c r="AA30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30" s="1"/>
      <c r="AC30" s="1" t="b">
        <v>1</v>
      </c>
      <c r="AD30" s="1" t="str">
        <v>nem</v>
      </c>
      <c r="AE30" s="1" t="str">
        <v>nem</v>
      </c>
      <c r="AF30" s="1" t="b">
        <v>1</v>
      </c>
      <c r="AG30" s="1" t="str">
        <v>nem</v>
      </c>
      <c r="AH30" s="1" t="str">
        <v>nem</v>
      </c>
      <c r="AI30" s="1" t="b">
        <v>1</v>
      </c>
      <c r="AJ30" s="1" t="str">
        <v>nem</v>
      </c>
      <c r="AK30" s="1" t="str">
        <v>nem</v>
      </c>
      <c r="AL30" s="1" t="str">
        <v/>
      </c>
      <c r="AM30" s="1" t="str">
        <v>nem</v>
      </c>
      <c r="AN30" s="1" t="str">
        <v>nem</v>
      </c>
      <c r="AO30" s="1" t="b">
        <v>1</v>
      </c>
      <c r="AP30" s="1" t="str">
        <v>-</v>
      </c>
      <c r="AQ30" s="1" t="str">
        <v>-</v>
      </c>
      <c r="AR30" s="1" t="str">
        <v>-</v>
      </c>
      <c r="AS30" s="1"/>
    </row>
    <row r="31" spans="1:45" s="8" customFormat="1" ht="27.75" customHeight="1" x14ac:dyDescent="0.25">
      <c r="A31" s="1">
        <v>30</v>
      </c>
      <c r="B31" s="10" t="str">
        <v>Dylan Choi</v>
      </c>
      <c r="C31" s="1" t="str">
        <v>1998.09.09.</v>
      </c>
      <c r="D31" s="1" t="str">
        <v>O</v>
      </c>
      <c r="E31" s="1" t="str">
        <v>O</v>
      </c>
      <c r="F31" s="1" t="str">
        <v>BNT</v>
      </c>
      <c r="G31" s="14">
        <v>60</v>
      </c>
      <c r="H31" s="14">
        <v>48</v>
      </c>
      <c r="I31" s="14"/>
      <c r="J31" s="15"/>
      <c r="K31" s="15"/>
      <c r="L31" s="1" t="str">
        <v>nem</v>
      </c>
      <c r="M31" s="1" t="str">
        <v/>
      </c>
      <c r="N31" s="1" t="str">
        <v>nem</v>
      </c>
      <c r="O31" s="1" t="str">
        <v>igen</v>
      </c>
      <c r="P31" s="1" t="str">
        <v>nem</v>
      </c>
      <c r="Q31" s="1" t="str">
        <v>MF</v>
      </c>
      <c r="R31" s="1" t="str">
        <v>MF</v>
      </c>
      <c r="S31" s="1" t="str">
        <v>NFM</v>
      </c>
      <c r="T31" s="1" t="str">
        <v>NFM</v>
      </c>
      <c r="U31" s="1" t="str">
        <v>JV</v>
      </c>
      <c r="V31" s="1" t="str">
        <v>-</v>
      </c>
      <c r="W31" s="1" t="str">
        <v>igen</v>
      </c>
      <c r="X31" s="1" t="str">
        <v>nem</v>
      </c>
      <c r="Y31" s="1" t="str">
        <v>nem</v>
      </c>
      <c r="Z31" s="1" t="str">
        <v>nem</v>
      </c>
      <c r="AA31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31" s="1"/>
      <c r="AC31" s="1" t="b">
        <v>1</v>
      </c>
      <c r="AD31" s="1" t="str">
        <v>nem</v>
      </c>
      <c r="AE31" s="1" t="str">
        <v>nem</v>
      </c>
      <c r="AF31" s="1" t="b">
        <v>1</v>
      </c>
      <c r="AG31" s="1" t="str">
        <v>nem</v>
      </c>
      <c r="AH31" s="1" t="str">
        <v>nem</v>
      </c>
      <c r="AI31" s="1" t="b">
        <v>0</v>
      </c>
      <c r="AJ31" s="1" t="str">
        <v>nem</v>
      </c>
      <c r="AK31" s="1" t="str">
        <v>nem</v>
      </c>
      <c r="AL31" s="1" t="str">
        <v/>
      </c>
      <c r="AM31" s="1" t="str">
        <v>nem</v>
      </c>
      <c r="AN31" s="1" t="str">
        <v>nem</v>
      </c>
      <c r="AO31" s="1" t="b">
        <v>1</v>
      </c>
      <c r="AP31" s="1" t="str">
        <v>-</v>
      </c>
      <c r="AQ31" s="1" t="str">
        <v>JV</v>
      </c>
      <c r="AR31" s="1" t="str">
        <v>JV</v>
      </c>
      <c r="AS31" s="1"/>
    </row>
    <row r="32" spans="1:45" s="8" customFormat="1" ht="27.75" customHeight="1" x14ac:dyDescent="0.25">
      <c r="A32" s="2">
        <v>31</v>
      </c>
      <c r="B32" s="11" t="str">
        <v>Ezekiel Kumar</v>
      </c>
      <c r="C32" s="2" t="str">
        <v>1971.10.31.</v>
      </c>
      <c r="D32" s="2" t="str">
        <v>O</v>
      </c>
      <c r="E32" s="2" t="str">
        <v>O</v>
      </c>
      <c r="F32" s="2" t="str">
        <v>BNT</v>
      </c>
      <c r="G32" s="16">
        <v>26</v>
      </c>
      <c r="H32" s="16" t="s">
        <v>109</v>
      </c>
      <c r="I32" s="16"/>
      <c r="J32" s="17"/>
      <c r="K32" s="15"/>
      <c r="L32" s="1" t="str">
        <v>nem</v>
      </c>
      <c r="M32" s="1" t="str">
        <v/>
      </c>
      <c r="N32" s="1" t="str">
        <v>nem</v>
      </c>
      <c r="O32" s="1" t="str">
        <v>nem</v>
      </c>
      <c r="P32" s="1" t="str">
        <v>nem</v>
      </c>
      <c r="Q32" s="1" t="str">
        <v>NFM</v>
      </c>
      <c r="R32" s="1" t="str">
        <v>NFM</v>
      </c>
      <c r="S32" s="1" t="str">
        <v>JV</v>
      </c>
      <c r="T32" s="1" t="str">
        <v>-</v>
      </c>
      <c r="U32" s="1" t="str">
        <v>JV</v>
      </c>
      <c r="V32" s="1" t="str">
        <v>-</v>
      </c>
      <c r="W32" s="2" t="str">
        <v>igen</v>
      </c>
      <c r="X32" s="2" t="str">
        <v>nem</v>
      </c>
      <c r="Y32" s="2" t="str">
        <v>nem</v>
      </c>
      <c r="Z32" s="2" t="str">
        <v>nem</v>
      </c>
      <c r="AA32" s="2"/>
      <c r="AB32" s="2"/>
      <c r="AC32" s="2" t="b">
        <v>1</v>
      </c>
      <c r="AD32" s="2" t="str">
        <v>nem</v>
      </c>
      <c r="AE32" s="2" t="str">
        <v>nem</v>
      </c>
      <c r="AF32" s="2" t="b">
        <v>0</v>
      </c>
      <c r="AG32" s="2" t="str">
        <v>igen</v>
      </c>
      <c r="AH32" s="2" t="str">
        <v>nem</v>
      </c>
      <c r="AI32" s="2" t="b">
        <v>0</v>
      </c>
      <c r="AJ32" s="2" t="str">
        <v>nem</v>
      </c>
      <c r="AK32" s="2" t="str">
        <v>nem</v>
      </c>
      <c r="AL32" s="2" t="str">
        <v/>
      </c>
      <c r="AM32" s="2" t="str">
        <v>nem</v>
      </c>
      <c r="AN32" s="2" t="str">
        <v>igen</v>
      </c>
      <c r="AO32" s="2" t="b">
        <v>1</v>
      </c>
      <c r="AP32" s="2" t="str">
        <v>JV</v>
      </c>
      <c r="AQ32" s="2" t="str">
        <v>JV</v>
      </c>
      <c r="AR32" s="2" t="str">
        <v>JV</v>
      </c>
      <c r="AS32" s="2"/>
    </row>
    <row r="33" spans="1:45" s="8" customFormat="1" ht="27.75" customHeight="1" x14ac:dyDescent="0.25">
      <c r="A33" s="2"/>
      <c r="B33" s="11"/>
      <c r="C33" s="2"/>
      <c r="D33" s="2"/>
      <c r="E33" s="2"/>
      <c r="F33" s="2"/>
      <c r="G33" s="16"/>
      <c r="H33" s="16"/>
      <c r="I33" s="16"/>
      <c r="J33" s="17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s="8" customFormat="1" ht="27.75" customHeight="1" x14ac:dyDescent="0.25">
      <c r="A34" s="2"/>
      <c r="B34" s="11"/>
      <c r="C34" s="2"/>
      <c r="D34" s="2"/>
      <c r="E34" s="2"/>
      <c r="F34" s="2"/>
      <c r="G34" s="16"/>
      <c r="H34" s="16"/>
      <c r="I34" s="16"/>
      <c r="J34" s="17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s="8" customFormat="1" ht="27.75" customHeight="1" x14ac:dyDescent="0.25">
      <c r="A35" s="2"/>
      <c r="B35" s="11"/>
      <c r="C35" s="2"/>
      <c r="D35" s="2"/>
      <c r="E35" s="2"/>
      <c r="F35" s="2"/>
      <c r="G35" s="16"/>
      <c r="H35" s="16"/>
      <c r="I35" s="16"/>
      <c r="J35" s="17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s="8" customFormat="1" ht="27.75" customHeight="1" x14ac:dyDescent="0.25">
      <c r="A36" s="2"/>
      <c r="B36" s="11"/>
      <c r="C36" s="2"/>
      <c r="D36" s="2"/>
      <c r="E36" s="2"/>
      <c r="F36" s="2"/>
      <c r="G36" s="16"/>
      <c r="H36" s="16"/>
      <c r="I36" s="16"/>
      <c r="J36" s="17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s="8" customFormat="1" ht="27.75" customHeight="1" x14ac:dyDescent="0.25">
      <c r="A37" s="2"/>
      <c r="B37" s="11"/>
      <c r="C37" s="2"/>
      <c r="D37" s="2"/>
      <c r="E37" s="2"/>
      <c r="F37" s="2"/>
      <c r="G37" s="16"/>
      <c r="H37" s="16"/>
      <c r="I37" s="16"/>
      <c r="J37" s="17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s="8" customFormat="1" ht="27.75" customHeight="1" x14ac:dyDescent="0.25">
      <c r="A38" s="2"/>
      <c r="B38" s="11"/>
      <c r="C38" s="2"/>
      <c r="D38" s="2"/>
      <c r="E38" s="2"/>
      <c r="F38" s="2"/>
      <c r="G38" s="16"/>
      <c r="H38" s="16"/>
      <c r="I38" s="16"/>
      <c r="J38" s="17"/>
      <c r="K38" s="1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s="8" customFormat="1" ht="27.75" customHeight="1" x14ac:dyDescent="0.25">
      <c r="A39" s="2"/>
      <c r="B39" s="11"/>
      <c r="C39" s="2"/>
      <c r="D39" s="2"/>
      <c r="E39" s="2"/>
      <c r="F39" s="2"/>
      <c r="G39" s="16"/>
      <c r="H39" s="16"/>
      <c r="I39" s="16"/>
      <c r="J39" s="17"/>
      <c r="K39" s="1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s="8" customFormat="1" ht="27.75" customHeight="1" x14ac:dyDescent="0.25">
      <c r="A40" s="2"/>
      <c r="B40" s="11"/>
      <c r="C40" s="2"/>
      <c r="D40" s="2"/>
      <c r="E40" s="2"/>
      <c r="F40" s="2"/>
      <c r="G40" s="16"/>
      <c r="H40" s="16"/>
      <c r="I40" s="16"/>
      <c r="J40" s="17"/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s="8" customFormat="1" ht="27.75" customHeight="1" x14ac:dyDescent="0.25">
      <c r="A41" s="2"/>
      <c r="B41" s="11"/>
      <c r="C41" s="2"/>
      <c r="D41" s="2"/>
      <c r="E41" s="2"/>
      <c r="F41" s="2"/>
      <c r="G41" s="16"/>
      <c r="H41" s="16"/>
      <c r="I41" s="16"/>
      <c r="J41" s="17"/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s="8" customFormat="1" ht="27.75" customHeight="1" x14ac:dyDescent="0.25">
      <c r="A42" s="2"/>
      <c r="B42" s="9"/>
      <c r="C42" s="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</sheetData>
  <autoFilter ref="A1:AS33" xr:uid="{00000000-0001-0000-0100-000000000000}"/>
  <conditionalFormatting sqref="A2:AS41">
    <cfRule type="expression" dxfId="25" priority="1">
      <formula>$A2=""</formula>
    </cfRule>
    <cfRule type="expression" dxfId="24" priority="14">
      <formula>$B2&lt;&gt;""</formula>
    </cfRule>
    <cfRule type="expression" dxfId="23" priority="21">
      <formula>MOD(ROW(),2)=0</formula>
    </cfRule>
  </conditionalFormatting>
  <conditionalFormatting sqref="G2:I41">
    <cfRule type="expression" dxfId="22" priority="2">
      <formula>D2="-"</formula>
    </cfRule>
    <cfRule type="expression" dxfId="21" priority="6">
      <formula>IF(AND(D2="O",ISBLANK(G2)),TRUE,FALSE)=TRUE</formula>
    </cfRule>
    <cfRule type="cellIs" dxfId="20" priority="7" operator="equal">
      <formula>"-"</formula>
    </cfRule>
    <cfRule type="expression" dxfId="19" priority="8">
      <formula>D2="FM"</formula>
    </cfRule>
    <cfRule type="cellIs" dxfId="18" priority="12" operator="equal">
      <formula>"+"</formula>
    </cfRule>
    <cfRule type="cellIs" dxfId="17" priority="15" operator="lessThan">
      <formula>60</formula>
    </cfRule>
  </conditionalFormatting>
  <conditionalFormatting sqref="I2:J41">
    <cfRule type="expression" dxfId="16" priority="4">
      <formula>$F2="BNT"</formula>
    </cfRule>
  </conditionalFormatting>
  <conditionalFormatting sqref="J2:J41">
    <cfRule type="expression" dxfId="15" priority="5">
      <formula>$F2="O"</formula>
    </cfRule>
    <cfRule type="expression" dxfId="14" priority="11">
      <formula>F2="FM"</formula>
    </cfRule>
  </conditionalFormatting>
  <conditionalFormatting sqref="L2:M41">
    <cfRule type="cellIs" dxfId="13" priority="3" operator="equal">
      <formula>"igen"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E1A9-C530-4FBA-B5D7-97AB9B4738CA}">
  <sheetPr>
    <pageSetUpPr fitToPage="1"/>
  </sheetPr>
  <dimension ref="A1:AS42"/>
  <sheetViews>
    <sheetView zoomScale="70" zoomScaleNormal="70" workbookViewId="0">
      <selection activeCell="D2" sqref="D2"/>
    </sheetView>
  </sheetViews>
  <sheetFormatPr defaultRowHeight="15.75" x14ac:dyDescent="0.25"/>
  <cols>
    <col min="1" max="1" width="5.375" style="4" customWidth="1"/>
    <col min="2" max="2" width="35.875" style="5" customWidth="1"/>
    <col min="3" max="3" width="17.25" style="2" customWidth="1"/>
    <col min="4" max="6" width="10.875" style="3" customWidth="1"/>
    <col min="7" max="9" width="13.5" style="3" customWidth="1"/>
    <col min="10" max="10" width="9.375" style="3" customWidth="1"/>
    <col min="11" max="11" width="23" customWidth="1"/>
    <col min="12" max="12" width="18.75" customWidth="1"/>
    <col min="13" max="13" width="21.25" hidden="1" customWidth="1"/>
    <col min="14" max="22" width="21.75" customWidth="1"/>
    <col min="23" max="45" width="21.75" style="3" customWidth="1"/>
    <col min="46" max="46" width="9" style="3" customWidth="1"/>
    <col min="47" max="16384" width="9" style="3"/>
  </cols>
  <sheetData>
    <row r="1" spans="1:45" s="13" customFormat="1" ht="51.75" customHeight="1" x14ac:dyDescent="0.25">
      <c r="A1" s="12" t="s">
        <v>10</v>
      </c>
      <c r="B1" s="12" t="s">
        <v>1</v>
      </c>
      <c r="C1" s="12" t="s">
        <v>11</v>
      </c>
      <c r="D1" s="12" t="s">
        <v>35</v>
      </c>
      <c r="E1" s="12" t="s">
        <v>36</v>
      </c>
      <c r="F1" s="12" t="s">
        <v>12</v>
      </c>
      <c r="G1" s="12" t="s">
        <v>37</v>
      </c>
      <c r="H1" s="12" t="s">
        <v>38</v>
      </c>
      <c r="I1" s="12" t="s">
        <v>13</v>
      </c>
      <c r="J1" s="12" t="s">
        <v>14</v>
      </c>
      <c r="K1" s="12" t="s">
        <v>15</v>
      </c>
      <c r="L1" s="12" t="s">
        <v>16</v>
      </c>
      <c r="M1" s="12" t="s">
        <v>54</v>
      </c>
      <c r="N1" s="12" t="s">
        <v>17</v>
      </c>
      <c r="O1" s="12" t="s">
        <v>61</v>
      </c>
      <c r="P1" s="12" t="s">
        <v>62</v>
      </c>
      <c r="Q1" s="12" t="s">
        <v>67</v>
      </c>
      <c r="R1" s="12" t="s">
        <v>73</v>
      </c>
      <c r="S1" s="12" t="s">
        <v>68</v>
      </c>
      <c r="T1" s="12" t="s">
        <v>74</v>
      </c>
      <c r="U1" s="12" t="s">
        <v>69</v>
      </c>
      <c r="V1" s="12" t="s">
        <v>72</v>
      </c>
      <c r="W1" s="12" t="s">
        <v>18</v>
      </c>
      <c r="X1" s="12" t="s">
        <v>19</v>
      </c>
      <c r="Y1" s="12" t="s">
        <v>20</v>
      </c>
      <c r="Z1" s="12" t="s">
        <v>63</v>
      </c>
      <c r="AA1" s="12" t="s">
        <v>21</v>
      </c>
      <c r="AB1" s="12" t="s">
        <v>22</v>
      </c>
      <c r="AC1" s="12" t="s">
        <v>40</v>
      </c>
      <c r="AD1" s="12" t="s">
        <v>44</v>
      </c>
      <c r="AE1" s="12" t="s">
        <v>45</v>
      </c>
      <c r="AF1" s="12" t="s">
        <v>41</v>
      </c>
      <c r="AG1" s="12" t="s">
        <v>46</v>
      </c>
      <c r="AH1" s="12" t="s">
        <v>47</v>
      </c>
      <c r="AI1" s="12" t="s">
        <v>23</v>
      </c>
      <c r="AJ1" s="12" t="s">
        <v>48</v>
      </c>
      <c r="AK1" s="12" t="s">
        <v>49</v>
      </c>
      <c r="AL1" s="12" t="s">
        <v>52</v>
      </c>
      <c r="AM1" s="12" t="s">
        <v>24</v>
      </c>
      <c r="AN1" s="12" t="s">
        <v>25</v>
      </c>
      <c r="AO1" s="12" t="s">
        <v>26</v>
      </c>
      <c r="AP1" s="12" t="s">
        <v>64</v>
      </c>
      <c r="AQ1" s="12" t="s">
        <v>65</v>
      </c>
      <c r="AR1" s="12" t="s">
        <v>66</v>
      </c>
      <c r="AS1" s="12" t="s">
        <v>27</v>
      </c>
    </row>
    <row r="2" spans="1:45" s="8" customFormat="1" ht="27.75" customHeight="1" x14ac:dyDescent="0.25">
      <c r="A2" s="1" cm="1">
        <f t="array" ref="A2:C32">_xlfn.CHOOSECOLS(_xlfn._xlws.FILTER(vizsgazok_t[],Név&lt;&gt;"",""),1,2,5)</f>
        <v>1</v>
      </c>
      <c r="B2" s="10" t="str">
        <v>Emily Davis</v>
      </c>
      <c r="C2" s="7" t="str">
        <v>1999.09.11.</v>
      </c>
      <c r="D2" s="1" t="e" cm="1" vm="1">
        <f t="array" aca="1" ref="D2" ca="1">IF(ISNUMBER(_xlfn.XLOOKUP(_xlfn.ANCHORARRAY(A2),iD,szamvitel)),"-",IF(LEFT(_xlfn.XLOOKUP(_xlfn.ANCHORARRAY(A2),iD,szamvitel),2)="fm","FM","O"))</f>
        <v>#VALUE!</v>
      </c>
      <c r="E2" s="1" t="e" cm="1" vm="1">
        <f t="array" aca="1" ref="E2" ca="1">IF(ISNUMBER(_xlfn.XLOOKUP(_xlfn.ANCHORARRAY(A2),iD,PKÖE)),"-",IF(LEFT(_xlfn.XLOOKUP(_xlfn.ANCHORARRAY(A2),iD,PKÖE),2)="fm","FM","O"))</f>
        <v>#VALUE!</v>
      </c>
      <c r="F2" s="1" t="e" cm="1" vm="1">
        <f t="array" aca="1" ref="F2" ca="1">IF(ISNUMBER(_xlfn.XLOOKUP(_xlfn.ANCHORARRAY(A2),iD,Szóbeli)),"-",IF(LEFT(_xlfn.XLOOKUP(_xlfn.ANCHORARRAY(A2),iD,Szóbeli),2)="fm","FM",IF(INDEX($N$2:$N$41,_xlfn.ANCHORARRAY(A2),1)="igen","O","BNT")))</f>
        <v>#VALUE!</v>
      </c>
      <c r="G2" s="14">
        <v>76</v>
      </c>
      <c r="H2" s="14">
        <v>97</v>
      </c>
      <c r="I2" s="14">
        <v>98</v>
      </c>
      <c r="J2" s="15"/>
      <c r="K2" s="15">
        <v>98</v>
      </c>
      <c r="L2" s="1" t="e" cm="1" vm="1">
        <f t="array" aca="1" ref="L2" ca="1">_xlfn.LET(
_xlpm.a,INDEX($I$2:$I$41,_xlfn.ANCHORARRAY(A2),1),
_xlpm.b,INDEX($F$2:$F$41,_xlfn.ANCHORARRAY(A2),1),
IF(ISNUMBER(_xlpm.a),IF(_xlpm.a&gt;59,"igen","nem"),IF(_xlpm.b="FM","igen","nem")))</f>
        <v>#VALUE!</v>
      </c>
      <c r="M2" s="1" t="e" cm="1" vm="1">
        <f t="array" aca="1" ref="M2" ca="1">IF(ISBLANK(INDEX($K$2:$K$41,_xlfn.ANCHORARRAY(A2),1)),"",INDEX($K$2:$K$41,_xlfn.ANCHORARRAY(A2),1))</f>
        <v>#VALUE!</v>
      </c>
      <c r="N2" s="1" t="e" cm="1" vm="2">
        <f t="array" aca="1" ref="N2" ca="1">IF(_xlfn.ANCHORARRAY(O2)="igen",IF(_xlfn.ANCHORARRAY(P2)="igen","igen","nem"),"nem")</f>
        <v>#VALUE!</v>
      </c>
      <c r="O2" s="1" t="e" cm="1" vm="1">
        <f t="array" aca="1" ref="O2" ca="1">IF(INDEX($D$2:$D$41,_xlfn.ANCHORARRAY(A2),1)="-","igen",IF(_xlfn.ANCHORARRAY(Q2)="MF","igen","nem"))</f>
        <v>#VALUE!</v>
      </c>
      <c r="P2" s="1" t="e" cm="1" vm="1">
        <f t="array" aca="1" ref="P2" ca="1">IF(INDEX($E$2:$E$41,_xlfn.ANCHORARRAY(A2),1)="-","igen",IF(_xlfn.ANCHORARRAY(S2)="MF","igen","nem"))</f>
        <v>#VALUE!</v>
      </c>
      <c r="Q2" s="1" t="e" cm="1" vm="2">
        <f t="array" aca="1" ref="Q2" ca="1">_xlfn.LET(
_xlpm.szamvitel_ered,INDEX($G$2:$G$41,_xlfn.ANCHORARRAY(A2),1),
IF(_xlfn.ANCHORARRAY(D2)="-","-",IF(ISBLANK(_xlpm.szamvitel_ered),"MF",
IF(ISNUMBER(_xlpm.szamvitel_ered),IF(_xlpm.szamvitel_ered&gt;59,"MF","NFM"),IF(_xlpm.szamvitel_ered="-","JV","PV")))))</f>
        <v>#VALUE!</v>
      </c>
      <c r="R2" s="1" t="e" cm="1" vm="1">
        <f t="array" aca="1" ref="R2" ca="1">_xlfn.LET(
_xlpm.szamvitel_ered,INDEX($G$2:$G$41,_xlfn.ANCHORARRAY(A2),1),
IF(ISNUMBER(_xlpm.szamvitel_ered),IF(_xlpm.szamvitel_ered&gt;59,"MF","NFM"),"-"))</f>
        <v>#VALUE!</v>
      </c>
      <c r="S2" s="1" t="e" cm="1" vm="2">
        <f t="array" aca="1" ref="S2" ca="1">_xlfn.LET(
_xlpm.pköe_ered,INDEX($H$2:$H$41,_xlfn.ANCHORARRAY(A2),1),
IF(_xlfn.ANCHORARRAY(E2)="-","-",IF(ISBLANK(_xlpm.pköe_ered),"MF",
IF(ISNUMBER(_xlpm.pköe_ered),IF(_xlpm.pköe_ered&gt;59,"MF","NFM"),IF(_xlpm.pköe_ered="-","JV","PV")))))</f>
        <v>#VALUE!</v>
      </c>
      <c r="T2" s="1" t="e" cm="1" vm="1">
        <f t="array" aca="1" ref="T2" ca="1">_xlfn.LET(
_xlpm.pköe_ered,INDEX($H$2:$H$41,_xlfn.ANCHORARRAY(A2),1),
IF(ISNUMBER(_xlpm.pköe_ered),IF(_xlpm.pköe_ered&gt;59,"MF","NFM"),"-"))</f>
        <v>#VALUE!</v>
      </c>
      <c r="U2" s="1" t="e" cm="1" vm="2">
        <f t="array" aca="1" ref="U2" ca="1">_xlfn.LET(
_xlpm.szobeli_ered,INDEX($I$2:$I$41,_xlfn.ANCHORARRAY(A2),1),
IF(_xlfn.ANCHORARRAY(N2)="nem",IF(_xlfn.ANCHORARRAY(AN2)="igen","JV",IF(_xlfn.ANCHORARRAY(AM2)="igen","PV","JV")),IF(ISBLANK(_xlpm.szobeli_ered),"MF",IF(ISNUMBER(_xlpm.szobeli_ered),IF(_xlpm.szobeli_ered&gt;59,"MF","NFM"),IF(_xlfn.ANCHORARRAY(AN2)="igen","JV","PV")))))</f>
        <v>#VALUE!</v>
      </c>
      <c r="V2" s="1" t="e" cm="1" vm="2">
        <f t="array" aca="1" ref="V2" ca="1">_xlfn.LET(
_xlpm.szobeli_ered,INDEX($I$2:$I$41,_xlfn.ANCHORARRAY(A2),1),
IF(_xlfn.ANCHORARRAY(N2)="nem","-",IF(ISNUMBER(_xlpm.szobeli_ered),IF(_xlpm.szobeli_ered&gt;59,"MF","NFM"),"-")))</f>
        <v>#VALUE!</v>
      </c>
      <c r="W2" s="1" t="e" cm="1" vm="1">
        <f t="array" aca="1" ref="W2" ca="1">IF(ISNUMBER(INDEX($G$2:$G$41,_xlfn.ANCHORARRAY(A2),1)),"igen",IF(ISNUMBER(INDEX($H$2:$H$41,_xlfn.ANCHORARRAY(A2),1)),"igen",IF(ISNUMBER(INDEX($I$2:$I$41,_xlfn.ANCHORARRAY(A2),1)),"igen","nem")))</f>
        <v>#VALUE!</v>
      </c>
      <c r="X2" s="1" t="str" cm="1">
        <f t="array" ref="X2:X32">_xlfn._xlws.FILTER(vizsgazok_t[pótló],Név&lt;&gt;"","")</f>
        <v>nem</v>
      </c>
      <c r="Y2" s="1" t="str" cm="1">
        <f t="array" ref="Y2:Y32">_xlfn._xlws.FILTER(vizsgazok_t[javító],Név&lt;&gt;"","")</f>
        <v>nem</v>
      </c>
      <c r="Z2" s="1" t="str" cm="1">
        <f t="array" aca="1" ref="Z2:Z32" ca="1">IF(_xlfn.ANCHORARRAY(Y2)="igen",IF(_xlfn.ANCHORARRAY(N2)="igen","igen","nem"),"nem")</f>
        <v>nem</v>
      </c>
      <c r="AA2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" s="1"/>
      <c r="AC2" s="1" t="e" cm="1" vm="1">
        <f t="array" aca="1" ref="AC2" ca="1">ISNUMBER(INDEX($G$2:$G$41,_xlfn.ANCHORARRAY(A2),1))</f>
        <v>#VALUE!</v>
      </c>
      <c r="AD2" s="1" t="e" cm="1" vm="1">
        <f t="array" aca="1" ref="AD2" ca="1">IF(INDEX($G$2:$G$41,_xlfn.ANCHORARRAY(A2),1)="-","igen","nem")</f>
        <v>#VALUE!</v>
      </c>
      <c r="AE2" s="1" t="e" cm="1" vm="1">
        <f t="array" aca="1" ref="AE2" ca="1">IF(INDEX($G$2:$G$41,_xlfn.ANCHORARRAY(A2),1)="+","igen","nem")</f>
        <v>#VALUE!</v>
      </c>
      <c r="AF2" s="1" t="e" cm="1" vm="1">
        <f t="array" aca="1" ref="AF2" ca="1">ISNUMBER(INDEX($H$2:$H$41,_xlfn.ANCHORARRAY(A2),1))</f>
        <v>#VALUE!</v>
      </c>
      <c r="AG2" s="1" t="e" cm="1" vm="1">
        <f t="array" aca="1" ref="AG2" ca="1">IF(INDEX($H$2:$H$41,_xlfn.ANCHORARRAY(A2),1)="-","igen","nem")</f>
        <v>#VALUE!</v>
      </c>
      <c r="AH2" s="1" t="e" cm="1" vm="1">
        <f t="array" aca="1" ref="AH2" ca="1">IF(INDEX($H$2:$H$41,_xlfn.ANCHORARRAY(A2),1)="+","igen","nem")</f>
        <v>#VALUE!</v>
      </c>
      <c r="AI2" s="1" t="e" cm="1" vm="1">
        <f t="array" aca="1" ref="AI2" ca="1">ISNUMBER(INDEX($I$2:$I$41,_xlfn.ANCHORARRAY(A2),1))</f>
        <v>#VALUE!</v>
      </c>
      <c r="AJ2" s="1" t="e" cm="1" vm="1">
        <f t="array" aca="1" ref="AJ2" ca="1">IF(INDEX($I$2:$I$41,_xlfn.ANCHORARRAY(A2),1)="-","igen","nem")</f>
        <v>#VALUE!</v>
      </c>
      <c r="AK2" s="1" t="e" cm="1" vm="1">
        <f t="array" aca="1" ref="AK2" ca="1">IF(INDEX($I$2:$I$41,_xlfn.ANCHORARRAY(A2),1)="+","igen","nem")</f>
        <v>#VALUE!</v>
      </c>
      <c r="AL2" s="1" t="e" cm="1" vm="1">
        <f t="array" aca="1" ref="AL2" ca="1">IF(INDEX($J$2:$J$41,_xlfn.ANCHORARRAY(A2),1)="p","igen","")</f>
        <v>#VALUE!</v>
      </c>
      <c r="AM2" s="1" t="e" cm="1" vm="1">
        <f t="array" aca="1" ref="AM2" ca="1">IF(INDEX($G$2:$G$41,_xlfn.ANCHORARRAY(A2),1)="+","igen",IF(INDEX($H$2:$H$41,_xlfn.ANCHORARRAY(A2),1)="+","igen",IF(INDEX($I$2:$I$41,_xlfn.ANCHORARRAY(A2),1)="+","igen","nem")))</f>
        <v>#VALUE!</v>
      </c>
      <c r="AN2" s="1" t="e" cm="1" vm="1">
        <f t="array" aca="1" ref="AN2" ca="1">IF(INDEX($G$2:$G$41,_xlfn.ANCHORARRAY(A2),1)="-","igen",IF(INDEX($H$2:$H$41,_xlfn.ANCHORARRAY(A2),1)="-","igen",IF(INDEX($I$2:$I$41,_xlfn.ANCHORARRAY(A2),1)="-","igen","nem")))</f>
        <v>#VALUE!</v>
      </c>
      <c r="AO2" s="1" t="b" cm="1">
        <f t="array" ref="AO2:AO32">_xlfn._xlws.FILTER(vizsgazok_t[első vizsgás],Név&lt;&gt;"","")</f>
        <v>1</v>
      </c>
      <c r="AP2" s="1" t="e" cm="1" vm="2">
        <f t="array" aca="1" ref="AP2" ca="1">IF(_xlfn.ANCHORARRAY(Q2)="NFM","JV",IF(_xlfn.ANCHORARRAY(Q2)="JV","JV","-"))</f>
        <v>#VALUE!</v>
      </c>
      <c r="AQ2" s="1" t="e" cm="1" vm="2">
        <f t="array" aca="1" ref="AQ2" ca="1">IF(_xlfn.ANCHORARRAY(S2)="NFM","JV",IF(_xlfn.ANCHORARRAY(S2)="JV","JV","-"))</f>
        <v>#VALUE!</v>
      </c>
      <c r="AR2" s="1" t="e" cm="1" vm="2">
        <f t="array" aca="1" ref="AR2" ca="1">IF(_xlfn.ANCHORARRAY(U2)="NFM","JV",IF(_xlfn.ANCHORARRAY(U2)="JV","JV","-"))</f>
        <v>#VALUE!</v>
      </c>
      <c r="AS2" s="1"/>
    </row>
    <row r="3" spans="1:45" s="8" customFormat="1" ht="27.75" customHeight="1" x14ac:dyDescent="0.25">
      <c r="A3" s="1">
        <v>2</v>
      </c>
      <c r="B3" s="10" t="str">
        <v>Theodore Dinh</v>
      </c>
      <c r="C3" s="1" t="str">
        <v>1998.04.06.</v>
      </c>
      <c r="D3" s="1"/>
      <c r="E3" s="1"/>
      <c r="F3" s="1"/>
      <c r="G3" s="14">
        <v>49</v>
      </c>
      <c r="H3" s="14">
        <v>83</v>
      </c>
      <c r="I3" s="14"/>
      <c r="J3" s="15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 t="str">
        <v>nem</v>
      </c>
      <c r="Y3" s="1" t="str">
        <v>nem</v>
      </c>
      <c r="Z3" s="1" t="str">
        <f ca="1"/>
        <v>nem</v>
      </c>
      <c r="AA3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3" s="1"/>
      <c r="AC3" s="1"/>
      <c r="AD3" s="1"/>
      <c r="AE3" s="1"/>
      <c r="AF3" s="1"/>
      <c r="AG3" s="1"/>
      <c r="AH3" s="1"/>
      <c r="AI3" s="2"/>
      <c r="AJ3" s="2"/>
      <c r="AK3" s="2"/>
      <c r="AL3" s="2"/>
      <c r="AM3" s="1"/>
      <c r="AN3" s="1"/>
      <c r="AO3" s="1" t="b">
        <v>1</v>
      </c>
      <c r="AP3" s="1"/>
      <c r="AQ3" s="1"/>
      <c r="AR3" s="1"/>
      <c r="AS3" s="1"/>
    </row>
    <row r="4" spans="1:45" s="8" customFormat="1" ht="27.75" customHeight="1" x14ac:dyDescent="0.25">
      <c r="A4" s="1">
        <v>3</v>
      </c>
      <c r="B4" s="10" t="str">
        <v>Luna Sanders</v>
      </c>
      <c r="C4" s="1" t="str">
        <v>1989.12.31.</v>
      </c>
      <c r="D4" s="1"/>
      <c r="E4" s="1"/>
      <c r="F4" s="1"/>
      <c r="G4" s="14">
        <v>65</v>
      </c>
      <c r="H4" s="14">
        <v>81</v>
      </c>
      <c r="I4" s="14">
        <v>65</v>
      </c>
      <c r="J4" s="15"/>
      <c r="K4" s="15">
        <v>65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 t="str">
        <v>nem</v>
      </c>
      <c r="Y4" s="1" t="str">
        <v>nem</v>
      </c>
      <c r="Z4" s="1" t="str">
        <f ca="1"/>
        <v>nem</v>
      </c>
      <c r="AA4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 t="b">
        <v>1</v>
      </c>
      <c r="AP4" s="1"/>
      <c r="AQ4" s="1"/>
      <c r="AR4" s="1"/>
      <c r="AS4" s="1"/>
    </row>
    <row r="5" spans="1:45" s="8" customFormat="1" ht="27.75" customHeight="1" x14ac:dyDescent="0.25">
      <c r="A5" s="1">
        <v>4</v>
      </c>
      <c r="B5" s="10" t="str">
        <v>Penelope Jordan</v>
      </c>
      <c r="C5" s="1" t="str">
        <v>1998.08.17.</v>
      </c>
      <c r="D5" s="1"/>
      <c r="E5" s="1"/>
      <c r="F5" s="1"/>
      <c r="G5" s="14">
        <v>60</v>
      </c>
      <c r="H5" s="14" t="s">
        <v>109</v>
      </c>
      <c r="I5" s="14"/>
      <c r="J5" s="15"/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 t="str">
        <v>nem</v>
      </c>
      <c r="Y5" s="1" t="str">
        <v>nem</v>
      </c>
      <c r="Z5" s="1" t="str">
        <f ca="1"/>
        <v>nem</v>
      </c>
      <c r="AA5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b">
        <v>1</v>
      </c>
      <c r="AP5" s="1"/>
      <c r="AQ5" s="1"/>
      <c r="AR5" s="1"/>
      <c r="AS5" s="1"/>
    </row>
    <row r="6" spans="1:45" s="8" customFormat="1" ht="27.75" customHeight="1" x14ac:dyDescent="0.25">
      <c r="A6" s="1">
        <v>5</v>
      </c>
      <c r="B6" s="10" t="str">
        <v>Austin Vo</v>
      </c>
      <c r="C6" s="1" t="str">
        <v>1990.07.07.</v>
      </c>
      <c r="D6" s="1"/>
      <c r="E6" s="1"/>
      <c r="F6" s="1"/>
      <c r="G6" s="14">
        <v>51</v>
      </c>
      <c r="H6" s="14">
        <v>82</v>
      </c>
      <c r="I6" s="14"/>
      <c r="J6" s="15"/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 t="str">
        <v>nem</v>
      </c>
      <c r="Y6" s="1" t="str">
        <v>nem</v>
      </c>
      <c r="Z6" s="1" t="str">
        <f ca="1"/>
        <v>nem</v>
      </c>
      <c r="AA6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b">
        <v>1</v>
      </c>
      <c r="AP6" s="1"/>
      <c r="AQ6" s="1"/>
      <c r="AR6" s="1"/>
      <c r="AS6" s="1"/>
    </row>
    <row r="7" spans="1:45" s="8" customFormat="1" ht="27.75" customHeight="1" x14ac:dyDescent="0.25">
      <c r="A7" s="1">
        <v>6</v>
      </c>
      <c r="B7" s="10" t="str">
        <v>Joshua Gupta</v>
      </c>
      <c r="C7" s="1" t="str">
        <v>1976.05.27.</v>
      </c>
      <c r="D7" s="1"/>
      <c r="E7" s="1"/>
      <c r="F7" s="1"/>
      <c r="G7" s="14">
        <v>52</v>
      </c>
      <c r="H7" s="14">
        <v>60</v>
      </c>
      <c r="I7" s="14"/>
      <c r="J7" s="15"/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 t="str">
        <v>nem</v>
      </c>
      <c r="Y7" s="1" t="str">
        <v>nem</v>
      </c>
      <c r="Z7" s="1" t="str">
        <f ca="1"/>
        <v>nem</v>
      </c>
      <c r="AA7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 t="b">
        <v>1</v>
      </c>
      <c r="AP7" s="1"/>
      <c r="AQ7" s="1"/>
      <c r="AR7" s="1"/>
      <c r="AS7" s="1"/>
    </row>
    <row r="8" spans="1:45" s="8" customFormat="1" ht="27.75" customHeight="1" x14ac:dyDescent="0.25">
      <c r="A8" s="1">
        <v>7</v>
      </c>
      <c r="B8" s="10" t="str">
        <v>Ruby Barnes</v>
      </c>
      <c r="C8" s="1" t="str">
        <v>1978.12.22.</v>
      </c>
      <c r="D8" s="1"/>
      <c r="E8" s="1"/>
      <c r="F8" s="1"/>
      <c r="G8" s="14">
        <v>77</v>
      </c>
      <c r="H8" s="14">
        <v>92</v>
      </c>
      <c r="I8" s="14">
        <v>80</v>
      </c>
      <c r="J8" s="15"/>
      <c r="K8" s="15">
        <v>80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 t="str">
        <v>nem</v>
      </c>
      <c r="Y8" s="1" t="str">
        <v>nem</v>
      </c>
      <c r="Z8" s="1" t="str">
        <f ca="1"/>
        <v>nem</v>
      </c>
      <c r="AA8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 t="b">
        <v>1</v>
      </c>
      <c r="AP8" s="1"/>
      <c r="AQ8" s="1"/>
      <c r="AR8" s="1"/>
      <c r="AS8" s="1"/>
    </row>
    <row r="9" spans="1:45" s="8" customFormat="1" ht="27.75" customHeight="1" x14ac:dyDescent="0.25">
      <c r="A9" s="1">
        <v>8</v>
      </c>
      <c r="B9" s="10" t="str">
        <v>Luke Martin</v>
      </c>
      <c r="C9" s="1" t="str">
        <v>1991.09.10.</v>
      </c>
      <c r="D9" s="1"/>
      <c r="E9" s="1"/>
      <c r="F9" s="1"/>
      <c r="G9" s="14">
        <v>53</v>
      </c>
      <c r="H9" s="14">
        <v>73</v>
      </c>
      <c r="I9" s="14"/>
      <c r="J9" s="15"/>
      <c r="K9" s="1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 t="str">
        <v>nem</v>
      </c>
      <c r="Y9" s="1" t="str">
        <v>nem</v>
      </c>
      <c r="Z9" s="1" t="str">
        <f ca="1"/>
        <v>nem</v>
      </c>
      <c r="AA9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 t="b">
        <v>1</v>
      </c>
      <c r="AP9" s="1"/>
      <c r="AQ9" s="1"/>
      <c r="AR9" s="1"/>
      <c r="AS9" s="1"/>
    </row>
    <row r="10" spans="1:45" s="8" customFormat="1" ht="27.75" customHeight="1" x14ac:dyDescent="0.25">
      <c r="A10" s="1">
        <v>9</v>
      </c>
      <c r="B10" s="10" t="str">
        <v>Easton Bailey</v>
      </c>
      <c r="C10" s="1" t="str">
        <v>1994.12.20.</v>
      </c>
      <c r="D10" s="1"/>
      <c r="E10" s="1"/>
      <c r="F10" s="1"/>
      <c r="G10" s="14">
        <v>8</v>
      </c>
      <c r="H10" s="14">
        <v>47</v>
      </c>
      <c r="I10" s="14"/>
      <c r="J10" s="15"/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 t="str">
        <v>nem</v>
      </c>
      <c r="Y10" s="1" t="str">
        <v>nem</v>
      </c>
      <c r="Z10" s="1" t="str">
        <f ca="1"/>
        <v>nem</v>
      </c>
      <c r="AA10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 t="b">
        <v>1</v>
      </c>
      <c r="AP10" s="1"/>
      <c r="AQ10" s="1"/>
      <c r="AR10" s="1"/>
      <c r="AS10" s="1"/>
    </row>
    <row r="11" spans="1:45" s="8" customFormat="1" ht="27.75" customHeight="1" x14ac:dyDescent="0.25">
      <c r="A11" s="1">
        <v>10</v>
      </c>
      <c r="B11" s="10" t="str">
        <v>Madeline Walker</v>
      </c>
      <c r="C11" s="1" t="str">
        <v>1994.06.12.</v>
      </c>
      <c r="D11" s="1"/>
      <c r="E11" s="1"/>
      <c r="F11" s="1"/>
      <c r="G11" s="14">
        <v>55</v>
      </c>
      <c r="H11" s="14">
        <v>87</v>
      </c>
      <c r="I11" s="14"/>
      <c r="J11" s="15"/>
      <c r="K11" s="1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 t="str">
        <v>nem</v>
      </c>
      <c r="Y11" s="1" t="str">
        <v>nem</v>
      </c>
      <c r="Z11" s="1" t="str">
        <f ca="1"/>
        <v>nem</v>
      </c>
      <c r="AA11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 t="b">
        <v>1</v>
      </c>
      <c r="AP11" s="1"/>
      <c r="AQ11" s="1"/>
      <c r="AR11" s="1"/>
      <c r="AS11" s="1"/>
    </row>
    <row r="12" spans="1:45" s="8" customFormat="1" ht="27.75" customHeight="1" x14ac:dyDescent="0.25">
      <c r="A12" s="1">
        <v>11</v>
      </c>
      <c r="B12" s="10" t="str">
        <v>Savannah Ali</v>
      </c>
      <c r="C12" s="1" t="str">
        <v>1981.01.21.</v>
      </c>
      <c r="D12" s="1"/>
      <c r="E12" s="1"/>
      <c r="F12" s="1"/>
      <c r="G12" s="14">
        <v>68</v>
      </c>
      <c r="H12" s="14">
        <v>75</v>
      </c>
      <c r="I12" s="14">
        <v>75</v>
      </c>
      <c r="J12" s="15" t="s">
        <v>111</v>
      </c>
      <c r="K12" s="15">
        <v>75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 t="str">
        <v>nem</v>
      </c>
      <c r="Y12" s="1" t="str">
        <v>nem</v>
      </c>
      <c r="Z12" s="1" t="str">
        <f ca="1"/>
        <v>nem</v>
      </c>
      <c r="AA12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 t="b">
        <v>1</v>
      </c>
      <c r="AP12" s="1"/>
      <c r="AQ12" s="1"/>
      <c r="AR12" s="1"/>
      <c r="AS12" s="1"/>
    </row>
    <row r="13" spans="1:45" s="8" customFormat="1" ht="27.75" customHeight="1" x14ac:dyDescent="0.25">
      <c r="A13" s="1">
        <v>12</v>
      </c>
      <c r="B13" s="10" t="str">
        <v>Camila Rogers</v>
      </c>
      <c r="C13" s="1" t="str">
        <v>1992.09.22.</v>
      </c>
      <c r="D13" s="1"/>
      <c r="E13" s="1"/>
      <c r="F13" s="1"/>
      <c r="G13" s="14">
        <v>77</v>
      </c>
      <c r="H13" s="14">
        <v>80</v>
      </c>
      <c r="I13" s="14">
        <v>85</v>
      </c>
      <c r="J13" s="15"/>
      <c r="K13" s="15">
        <v>85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 t="str">
        <v>nem</v>
      </c>
      <c r="Y13" s="1" t="str">
        <v>nem</v>
      </c>
      <c r="Z13" s="1" t="str">
        <f ca="1"/>
        <v>nem</v>
      </c>
      <c r="AA13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 t="b">
        <v>1</v>
      </c>
      <c r="AP13" s="1"/>
      <c r="AQ13" s="1"/>
      <c r="AR13" s="1"/>
      <c r="AS13" s="1"/>
    </row>
    <row r="14" spans="1:45" s="8" customFormat="1" ht="27.75" customHeight="1" x14ac:dyDescent="0.25">
      <c r="A14" s="1">
        <v>13</v>
      </c>
      <c r="B14" s="10" t="str">
        <v>Eli Jones</v>
      </c>
      <c r="C14" s="1" t="str">
        <v>1988.01.29.</v>
      </c>
      <c r="D14" s="1"/>
      <c r="E14" s="1"/>
      <c r="F14" s="1"/>
      <c r="G14" s="14" t="s">
        <v>109</v>
      </c>
      <c r="H14" s="14" t="s">
        <v>109</v>
      </c>
      <c r="I14" s="14"/>
      <c r="J14" s="15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 t="str">
        <v>nem</v>
      </c>
      <c r="Y14" s="1" t="str">
        <v>nem</v>
      </c>
      <c r="Z14" s="1" t="str">
        <f ca="1"/>
        <v>nem</v>
      </c>
      <c r="AA14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 t="b">
        <v>1</v>
      </c>
      <c r="AP14" s="1"/>
      <c r="AQ14" s="1"/>
      <c r="AR14" s="1"/>
      <c r="AS14" s="1"/>
    </row>
    <row r="15" spans="1:45" s="8" customFormat="1" ht="27.75" customHeight="1" x14ac:dyDescent="0.25">
      <c r="A15" s="1">
        <v>14</v>
      </c>
      <c r="B15" s="10" t="str">
        <v>Everleigh Ng</v>
      </c>
      <c r="C15" s="1" t="str">
        <v>1986.07.31.</v>
      </c>
      <c r="D15" s="1"/>
      <c r="E15" s="1"/>
      <c r="F15" s="1"/>
      <c r="G15" s="14">
        <v>60</v>
      </c>
      <c r="H15" s="14">
        <v>80</v>
      </c>
      <c r="I15" s="14" t="s">
        <v>109</v>
      </c>
      <c r="J15" s="15"/>
      <c r="K15" s="15" t="s">
        <v>109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 t="str">
        <v>nem</v>
      </c>
      <c r="Y15" s="1" t="str">
        <v>nem</v>
      </c>
      <c r="Z15" s="1" t="str">
        <f ca="1"/>
        <v>nem</v>
      </c>
      <c r="AA15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 t="b">
        <v>1</v>
      </c>
      <c r="AP15" s="1"/>
      <c r="AQ15" s="1"/>
      <c r="AR15" s="1"/>
      <c r="AS15" s="1"/>
    </row>
    <row r="16" spans="1:45" s="8" customFormat="1" ht="27.75" customHeight="1" x14ac:dyDescent="0.25">
      <c r="A16" s="1">
        <v>15</v>
      </c>
      <c r="B16" s="10" t="str">
        <v>Robert Yang</v>
      </c>
      <c r="C16" s="1" t="str">
        <v>1968.02.15.</v>
      </c>
      <c r="D16" s="1"/>
      <c r="E16" s="1"/>
      <c r="F16" s="1"/>
      <c r="G16" s="14">
        <v>37</v>
      </c>
      <c r="H16" s="14">
        <v>61</v>
      </c>
      <c r="I16" s="14"/>
      <c r="J16" s="15"/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 t="str">
        <v>nem</v>
      </c>
      <c r="Y16" s="1" t="str">
        <v>nem</v>
      </c>
      <c r="Z16" s="1" t="str">
        <f ca="1"/>
        <v>nem</v>
      </c>
      <c r="AA16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 t="b">
        <v>1</v>
      </c>
      <c r="AP16" s="1"/>
      <c r="AQ16" s="1"/>
      <c r="AR16" s="1"/>
      <c r="AS16" s="1"/>
    </row>
    <row r="17" spans="1:45" s="8" customFormat="1" ht="27.75" customHeight="1" x14ac:dyDescent="0.25">
      <c r="A17" s="1">
        <v>16</v>
      </c>
      <c r="B17" s="10" t="str">
        <v>Isabella Xi</v>
      </c>
      <c r="C17" s="1" t="str">
        <v>1977.11.06.</v>
      </c>
      <c r="D17" s="1"/>
      <c r="E17" s="1"/>
      <c r="F17" s="1"/>
      <c r="G17" s="14">
        <v>26</v>
      </c>
      <c r="H17" s="14">
        <v>60</v>
      </c>
      <c r="I17" s="14"/>
      <c r="J17" s="15"/>
      <c r="K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 t="str">
        <v>nem</v>
      </c>
      <c r="Y17" s="1" t="str">
        <v>nem</v>
      </c>
      <c r="Z17" s="1" t="str">
        <f ca="1"/>
        <v>nem</v>
      </c>
      <c r="AA17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 t="b">
        <v>1</v>
      </c>
      <c r="AP17" s="1"/>
      <c r="AQ17" s="1"/>
      <c r="AR17" s="1"/>
      <c r="AS17" s="1"/>
    </row>
    <row r="18" spans="1:45" s="8" customFormat="1" ht="27.75" customHeight="1" x14ac:dyDescent="0.25">
      <c r="A18" s="1">
        <v>17</v>
      </c>
      <c r="B18" s="10" t="str">
        <v>Bella Powell</v>
      </c>
      <c r="C18" s="1" t="str">
        <v>1995.03.06.</v>
      </c>
      <c r="D18" s="1"/>
      <c r="E18" s="1"/>
      <c r="F18" s="1"/>
      <c r="G18" s="14">
        <v>60</v>
      </c>
      <c r="H18" s="14">
        <v>88</v>
      </c>
      <c r="I18" s="14">
        <v>70</v>
      </c>
      <c r="J18" s="15"/>
      <c r="K18" s="15">
        <v>70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 t="str">
        <v>nem</v>
      </c>
      <c r="Y18" s="1" t="str">
        <v>nem</v>
      </c>
      <c r="Z18" s="1" t="str">
        <f ca="1"/>
        <v>nem</v>
      </c>
      <c r="AA18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 t="b">
        <v>1</v>
      </c>
      <c r="AP18" s="1"/>
      <c r="AQ18" s="1"/>
      <c r="AR18" s="1"/>
      <c r="AS18" s="1"/>
    </row>
    <row r="19" spans="1:45" s="8" customFormat="1" ht="27.75" customHeight="1" x14ac:dyDescent="0.25">
      <c r="A19" s="1">
        <v>18</v>
      </c>
      <c r="B19" s="10" t="str">
        <v>Camila Silva</v>
      </c>
      <c r="C19" s="1" t="str">
        <v>1980.03.24.</v>
      </c>
      <c r="D19" s="1"/>
      <c r="E19" s="1"/>
      <c r="F19" s="1"/>
      <c r="G19" s="14">
        <v>17</v>
      </c>
      <c r="H19" s="14">
        <v>3</v>
      </c>
      <c r="I19" s="14"/>
      <c r="J19" s="15"/>
      <c r="K19" s="1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 t="str">
        <v>nem</v>
      </c>
      <c r="Y19" s="1" t="str">
        <v>nem</v>
      </c>
      <c r="Z19" s="1" t="str">
        <f ca="1"/>
        <v>nem</v>
      </c>
      <c r="AA19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 t="b">
        <v>1</v>
      </c>
      <c r="AP19" s="1"/>
      <c r="AQ19" s="1"/>
      <c r="AR19" s="1"/>
      <c r="AS19" s="1"/>
    </row>
    <row r="20" spans="1:45" s="8" customFormat="1" ht="27.75" customHeight="1" x14ac:dyDescent="0.25">
      <c r="A20" s="1">
        <v>19</v>
      </c>
      <c r="B20" s="10" t="str">
        <v>David Barnes</v>
      </c>
      <c r="C20" s="1" t="str">
        <v>1990.05.24.</v>
      </c>
      <c r="D20" s="1"/>
      <c r="E20" s="1"/>
      <c r="F20" s="1"/>
      <c r="G20" s="14" t="s">
        <v>109</v>
      </c>
      <c r="H20" s="14" t="s">
        <v>109</v>
      </c>
      <c r="I20" s="14"/>
      <c r="J20" s="15"/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 t="str">
        <v>nem</v>
      </c>
      <c r="Y20" s="1" t="str">
        <v>nem</v>
      </c>
      <c r="Z20" s="1" t="str">
        <f ca="1"/>
        <v>nem</v>
      </c>
      <c r="AA20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 t="b">
        <v>1</v>
      </c>
      <c r="AP20" s="1"/>
      <c r="AQ20" s="1"/>
      <c r="AR20" s="1"/>
      <c r="AS20" s="1"/>
    </row>
    <row r="21" spans="1:45" s="8" customFormat="1" ht="27.75" customHeight="1" x14ac:dyDescent="0.25">
      <c r="A21" s="1">
        <v>20</v>
      </c>
      <c r="B21" s="10" t="str">
        <v>Adam Dang</v>
      </c>
      <c r="C21" s="1" t="str">
        <v>2000.12.29.</v>
      </c>
      <c r="D21" s="1"/>
      <c r="E21" s="1"/>
      <c r="F21" s="1"/>
      <c r="G21" s="14"/>
      <c r="H21" s="14"/>
      <c r="I21" s="14"/>
      <c r="J21" s="15"/>
      <c r="K21" s="1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 t="str">
        <v>nem</v>
      </c>
      <c r="Y21" s="1" t="str">
        <v>nem</v>
      </c>
      <c r="Z21" s="1" t="str">
        <f ca="1"/>
        <v>nem</v>
      </c>
      <c r="AA21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 t="b">
        <v>1</v>
      </c>
      <c r="AP21" s="1"/>
      <c r="AQ21" s="1"/>
      <c r="AR21" s="1"/>
      <c r="AS21" s="1"/>
    </row>
    <row r="22" spans="1:45" s="8" customFormat="1" ht="27.75" customHeight="1" x14ac:dyDescent="0.25">
      <c r="A22" s="1">
        <v>21</v>
      </c>
      <c r="B22" s="10" t="str">
        <v>Elias Alvarado</v>
      </c>
      <c r="C22" s="1" t="str">
        <v>1970.11.17.</v>
      </c>
      <c r="D22" s="1"/>
      <c r="E22" s="1"/>
      <c r="F22" s="1"/>
      <c r="G22" s="14">
        <v>62</v>
      </c>
      <c r="H22" s="14">
        <v>85</v>
      </c>
      <c r="I22" s="14">
        <v>86</v>
      </c>
      <c r="J22" s="15"/>
      <c r="K22" s="15">
        <v>86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 t="str">
        <v>nem</v>
      </c>
      <c r="Y22" s="1" t="str">
        <v>nem</v>
      </c>
      <c r="Z22" s="1" t="str">
        <f ca="1"/>
        <v>nem</v>
      </c>
      <c r="AA22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 t="b">
        <v>1</v>
      </c>
      <c r="AP22" s="1"/>
      <c r="AQ22" s="1"/>
      <c r="AR22" s="1"/>
      <c r="AS22" s="1"/>
    </row>
    <row r="23" spans="1:45" s="8" customFormat="1" ht="27.75" customHeight="1" x14ac:dyDescent="0.25">
      <c r="A23" s="1">
        <v>22</v>
      </c>
      <c r="B23" s="10" t="str">
        <v>Eva Rivera</v>
      </c>
      <c r="C23" s="1" t="str">
        <v>1995.02.07.</v>
      </c>
      <c r="D23" s="1"/>
      <c r="E23" s="1"/>
      <c r="F23" s="1"/>
      <c r="G23" s="14">
        <v>40</v>
      </c>
      <c r="H23" s="14">
        <v>79</v>
      </c>
      <c r="I23" s="14"/>
      <c r="J23" s="15"/>
      <c r="K23" s="1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 t="str">
        <v>nem</v>
      </c>
      <c r="Y23" s="1" t="str">
        <v>nem</v>
      </c>
      <c r="Z23" s="1" t="str">
        <f ca="1"/>
        <v>nem</v>
      </c>
      <c r="AA23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 t="b">
        <v>1</v>
      </c>
      <c r="AP23" s="1"/>
      <c r="AQ23" s="1"/>
      <c r="AR23" s="1"/>
      <c r="AS23" s="1"/>
    </row>
    <row r="24" spans="1:45" s="8" customFormat="1" ht="27.75" customHeight="1" x14ac:dyDescent="0.25">
      <c r="A24" s="1">
        <v>23</v>
      </c>
      <c r="B24" s="10" t="str">
        <v>Logan Rivera</v>
      </c>
      <c r="C24" s="1" t="str">
        <v>1986.03.21.</v>
      </c>
      <c r="D24" s="1"/>
      <c r="E24" s="1"/>
      <c r="F24" s="1"/>
      <c r="G24" s="14">
        <v>52</v>
      </c>
      <c r="H24" s="14">
        <v>61</v>
      </c>
      <c r="I24" s="14"/>
      <c r="J24" s="15"/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 t="str">
        <v>nem</v>
      </c>
      <c r="Y24" s="1" t="str">
        <v>nem</v>
      </c>
      <c r="Z24" s="1" t="str">
        <f ca="1"/>
        <v>nem</v>
      </c>
      <c r="AA24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 t="b">
        <v>1</v>
      </c>
      <c r="AP24" s="1"/>
      <c r="AQ24" s="1"/>
      <c r="AR24" s="1"/>
      <c r="AS24" s="1"/>
    </row>
    <row r="25" spans="1:45" s="8" customFormat="1" ht="27.75" customHeight="1" x14ac:dyDescent="0.25">
      <c r="A25" s="1">
        <v>24</v>
      </c>
      <c r="B25" s="10" t="str">
        <v>Leonardo Dixon</v>
      </c>
      <c r="C25" s="1" t="str">
        <v>1977.11.04.</v>
      </c>
      <c r="D25" s="1"/>
      <c r="E25" s="1"/>
      <c r="F25" s="1"/>
      <c r="G25" s="14">
        <v>33</v>
      </c>
      <c r="H25" s="14" t="s">
        <v>109</v>
      </c>
      <c r="I25" s="14"/>
      <c r="J25" s="15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 t="str">
        <v>nem</v>
      </c>
      <c r="Y25" s="1" t="str">
        <v>nem</v>
      </c>
      <c r="Z25" s="1" t="str">
        <f ca="1"/>
        <v>nem</v>
      </c>
      <c r="AA25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 t="b">
        <v>1</v>
      </c>
      <c r="AP25" s="1"/>
      <c r="AQ25" s="1"/>
      <c r="AR25" s="1"/>
      <c r="AS25" s="1"/>
    </row>
    <row r="26" spans="1:45" s="8" customFormat="1" ht="27.75" customHeight="1" x14ac:dyDescent="0.25">
      <c r="A26" s="1">
        <v>25</v>
      </c>
      <c r="B26" s="10" t="str">
        <v>Mateo Her</v>
      </c>
      <c r="C26" s="1" t="str">
        <v>1970.07.06.</v>
      </c>
      <c r="D26" s="1"/>
      <c r="E26" s="1"/>
      <c r="F26" s="1"/>
      <c r="G26" s="14" t="s">
        <v>109</v>
      </c>
      <c r="H26" s="14" t="s">
        <v>109</v>
      </c>
      <c r="I26" s="14"/>
      <c r="J26" s="15"/>
      <c r="K26" s="1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 t="str">
        <v>nem</v>
      </c>
      <c r="Y26" s="1" t="str">
        <v>nem</v>
      </c>
      <c r="Z26" s="1" t="str">
        <f ca="1"/>
        <v>nem</v>
      </c>
      <c r="AA26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 t="b">
        <v>1</v>
      </c>
      <c r="AP26" s="1"/>
      <c r="AQ26" s="1"/>
      <c r="AR26" s="1"/>
      <c r="AS26" s="1"/>
    </row>
    <row r="27" spans="1:45" s="8" customFormat="1" ht="27.75" customHeight="1" x14ac:dyDescent="0.25">
      <c r="A27" s="1">
        <v>26</v>
      </c>
      <c r="B27" s="10" t="str">
        <v>Jose Henderson</v>
      </c>
      <c r="C27" s="1" t="str">
        <v>1977.07.04.</v>
      </c>
      <c r="D27" s="1"/>
      <c r="E27" s="1"/>
      <c r="F27" s="1"/>
      <c r="G27" s="14">
        <v>50</v>
      </c>
      <c r="H27" s="14" t="s">
        <v>109</v>
      </c>
      <c r="I27" s="14"/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 t="str">
        <v>nem</v>
      </c>
      <c r="Y27" s="1" t="str">
        <v>nem</v>
      </c>
      <c r="Z27" s="1" t="str">
        <f ca="1"/>
        <v>nem</v>
      </c>
      <c r="AA27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 t="b">
        <v>1</v>
      </c>
      <c r="AP27" s="1"/>
      <c r="AQ27" s="1"/>
      <c r="AR27" s="1"/>
      <c r="AS27" s="1"/>
    </row>
    <row r="28" spans="1:45" s="8" customFormat="1" ht="27.75" customHeight="1" x14ac:dyDescent="0.25">
      <c r="A28" s="1">
        <v>27</v>
      </c>
      <c r="B28" s="10" t="str">
        <v>Abigail Mejia</v>
      </c>
      <c r="C28" s="1" t="str">
        <v>1980.10.11.</v>
      </c>
      <c r="D28" s="1"/>
      <c r="E28" s="1"/>
      <c r="F28" s="1"/>
      <c r="G28" s="14">
        <v>45</v>
      </c>
      <c r="H28" s="14">
        <v>86</v>
      </c>
      <c r="I28" s="14"/>
      <c r="J28" s="15"/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tr">
        <v>nem</v>
      </c>
      <c r="Y28" s="1" t="str">
        <v>nem</v>
      </c>
      <c r="Z28" s="1" t="str">
        <f ca="1"/>
        <v>nem</v>
      </c>
      <c r="AA28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 t="b">
        <v>1</v>
      </c>
      <c r="AP28" s="1"/>
      <c r="AQ28" s="1"/>
      <c r="AR28" s="1"/>
      <c r="AS28" s="1"/>
    </row>
    <row r="29" spans="1:45" s="8" customFormat="1" ht="27.75" customHeight="1" x14ac:dyDescent="0.25">
      <c r="A29" s="1">
        <v>28</v>
      </c>
      <c r="B29" s="10" t="str">
        <v>Wyatt Chin</v>
      </c>
      <c r="C29" s="1" t="str">
        <v>1979.07.05.</v>
      </c>
      <c r="D29" s="1"/>
      <c r="E29" s="1"/>
      <c r="F29" s="1"/>
      <c r="G29" s="14">
        <v>60</v>
      </c>
      <c r="H29" s="14">
        <v>76</v>
      </c>
      <c r="I29" s="14">
        <v>64</v>
      </c>
      <c r="J29" s="15"/>
      <c r="K29" s="15">
        <v>64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tr">
        <v>nem</v>
      </c>
      <c r="Y29" s="1" t="str">
        <v>nem</v>
      </c>
      <c r="Z29" s="1" t="str">
        <f ca="1"/>
        <v>nem</v>
      </c>
      <c r="AA29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 t="b">
        <v>1</v>
      </c>
      <c r="AP29" s="1"/>
      <c r="AQ29" s="1"/>
      <c r="AR29" s="1"/>
      <c r="AS29" s="1"/>
    </row>
    <row r="30" spans="1:45" s="8" customFormat="1" ht="27.75" customHeight="1" x14ac:dyDescent="0.25">
      <c r="A30" s="1">
        <v>29</v>
      </c>
      <c r="B30" s="10" t="str">
        <v>Carson Lu</v>
      </c>
      <c r="C30" s="1" t="str">
        <v>2002.01.06.</v>
      </c>
      <c r="D30" s="1"/>
      <c r="E30" s="1"/>
      <c r="F30" s="1"/>
      <c r="G30" s="14">
        <v>60</v>
      </c>
      <c r="H30" s="14">
        <v>81</v>
      </c>
      <c r="I30" s="14">
        <v>70</v>
      </c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tr">
        <v>nem</v>
      </c>
      <c r="Y30" s="1" t="str">
        <v>nem</v>
      </c>
      <c r="Z30" s="1" t="str">
        <f ca="1"/>
        <v>nem</v>
      </c>
      <c r="AA30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 t="b">
        <v>1</v>
      </c>
      <c r="AP30" s="1"/>
      <c r="AQ30" s="1"/>
      <c r="AR30" s="1"/>
      <c r="AS30" s="1"/>
    </row>
    <row r="31" spans="1:45" s="8" customFormat="1" ht="27.75" customHeight="1" x14ac:dyDescent="0.25">
      <c r="A31" s="1">
        <v>30</v>
      </c>
      <c r="B31" s="10" t="str">
        <v>Dylan Choi</v>
      </c>
      <c r="C31" s="1" t="str">
        <v>1998.09.09.</v>
      </c>
      <c r="D31" s="1"/>
      <c r="E31" s="1"/>
      <c r="F31" s="1"/>
      <c r="G31" s="14">
        <v>60</v>
      </c>
      <c r="H31" s="14">
        <v>48</v>
      </c>
      <c r="I31" s="14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tr">
        <v>nem</v>
      </c>
      <c r="Y31" s="1" t="str">
        <v>nem</v>
      </c>
      <c r="Z31" s="1" t="str">
        <f ca="1"/>
        <v>nem</v>
      </c>
      <c r="AA31" s="1" t="str">
        <f>CONCATENATE(IF(ISNUMBER(INDEX(szamvitel,#REF!)),CONCATENATE(vizsgatev_1," (",INDEX(szamvitel,#REF!),"), "),  ),IF(ISNUMBER(INDEX(PKÖE,#REF!)),CONCATENATE(vizsgatev_2," (",INDEX(PKÖE,#REF!),"), "),  ),IF(ISNUMBER(INDEX(Szóbeli,#REF!)),CONCATENATE(vizsgatev_3," (",INDEX(Szóbeli,#REF!),"), "),  ))</f>
        <v/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 t="b">
        <v>1</v>
      </c>
      <c r="AP31" s="1"/>
      <c r="AQ31" s="1"/>
      <c r="AR31" s="1"/>
      <c r="AS31" s="1"/>
    </row>
    <row r="32" spans="1:45" s="8" customFormat="1" ht="27.75" customHeight="1" x14ac:dyDescent="0.25">
      <c r="A32" s="2">
        <v>31</v>
      </c>
      <c r="B32" s="11" t="str">
        <v>Ezekiel Kumar</v>
      </c>
      <c r="C32" s="2" t="str">
        <v>1971.10.31.</v>
      </c>
      <c r="D32" s="2"/>
      <c r="E32" s="2"/>
      <c r="F32" s="2"/>
      <c r="G32" s="16">
        <v>26</v>
      </c>
      <c r="H32" s="16" t="s">
        <v>109</v>
      </c>
      <c r="I32" s="16"/>
      <c r="J32" s="17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 t="str">
        <v>nem</v>
      </c>
      <c r="Y32" s="2" t="str">
        <v>nem</v>
      </c>
      <c r="Z32" s="2" t="str">
        <f ca="1"/>
        <v>nem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 t="b">
        <v>1</v>
      </c>
      <c r="AP32" s="2"/>
      <c r="AQ32" s="2"/>
      <c r="AR32" s="2"/>
      <c r="AS32" s="2"/>
    </row>
    <row r="33" spans="1:45" s="8" customFormat="1" ht="27.75" customHeight="1" x14ac:dyDescent="0.25">
      <c r="A33" s="2"/>
      <c r="B33" s="11"/>
      <c r="C33" s="2"/>
      <c r="D33" s="2"/>
      <c r="E33" s="2"/>
      <c r="F33" s="2"/>
      <c r="G33" s="16">
        <v>42</v>
      </c>
      <c r="H33" s="16">
        <v>60</v>
      </c>
      <c r="I33" s="16"/>
      <c r="J33" s="17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s="8" customFormat="1" ht="27.75" customHeight="1" x14ac:dyDescent="0.25">
      <c r="A34" s="2"/>
      <c r="B34" s="11"/>
      <c r="C34" s="2"/>
      <c r="D34" s="2"/>
      <c r="E34" s="2"/>
      <c r="F34" s="2"/>
      <c r="G34" s="16"/>
      <c r="H34" s="16"/>
      <c r="I34" s="16"/>
      <c r="J34" s="17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s="8" customFormat="1" ht="27.75" customHeight="1" x14ac:dyDescent="0.25">
      <c r="A35" s="2"/>
      <c r="B35" s="11"/>
      <c r="C35" s="2"/>
      <c r="D35" s="2"/>
      <c r="E35" s="2"/>
      <c r="F35" s="2"/>
      <c r="G35" s="16"/>
      <c r="H35" s="16"/>
      <c r="I35" s="16"/>
      <c r="J35" s="17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s="8" customFormat="1" ht="27.75" customHeight="1" x14ac:dyDescent="0.25">
      <c r="A36" s="2"/>
      <c r="B36" s="11"/>
      <c r="C36" s="2"/>
      <c r="D36" s="2"/>
      <c r="E36" s="2"/>
      <c r="F36" s="2"/>
      <c r="G36" s="16"/>
      <c r="H36" s="16"/>
      <c r="I36" s="16"/>
      <c r="J36" s="17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s="8" customFormat="1" ht="27.75" customHeight="1" x14ac:dyDescent="0.25">
      <c r="A37" s="2"/>
      <c r="B37" s="11"/>
      <c r="C37" s="2"/>
      <c r="D37" s="2"/>
      <c r="E37" s="2"/>
      <c r="F37" s="2"/>
      <c r="G37" s="16"/>
      <c r="H37" s="16"/>
      <c r="I37" s="16"/>
      <c r="J37" s="17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s="8" customFormat="1" ht="27.75" customHeight="1" x14ac:dyDescent="0.25">
      <c r="A38" s="2"/>
      <c r="B38" s="11"/>
      <c r="C38" s="2"/>
      <c r="D38" s="2"/>
      <c r="E38" s="2"/>
      <c r="F38" s="2"/>
      <c r="G38" s="16"/>
      <c r="H38" s="16"/>
      <c r="I38" s="16"/>
      <c r="J38" s="17"/>
      <c r="K38" s="1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s="8" customFormat="1" ht="27.75" customHeight="1" x14ac:dyDescent="0.25">
      <c r="A39" s="2"/>
      <c r="B39" s="11"/>
      <c r="C39" s="2"/>
      <c r="D39" s="2"/>
      <c r="E39" s="2"/>
      <c r="F39" s="2"/>
      <c r="G39" s="16"/>
      <c r="H39" s="16"/>
      <c r="I39" s="16"/>
      <c r="J39" s="17"/>
      <c r="K39" s="1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s="8" customFormat="1" ht="27.75" customHeight="1" x14ac:dyDescent="0.25">
      <c r="A40" s="2"/>
      <c r="B40" s="11"/>
      <c r="C40" s="2"/>
      <c r="D40" s="2"/>
      <c r="E40" s="2"/>
      <c r="F40" s="2"/>
      <c r="G40" s="16"/>
      <c r="H40" s="16"/>
      <c r="I40" s="16"/>
      <c r="J40" s="17"/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s="8" customFormat="1" ht="27.75" customHeight="1" x14ac:dyDescent="0.25">
      <c r="A41" s="2"/>
      <c r="B41" s="11"/>
      <c r="C41" s="2"/>
      <c r="D41" s="2"/>
      <c r="E41" s="2"/>
      <c r="F41" s="2"/>
      <c r="G41" s="16"/>
      <c r="H41" s="16"/>
      <c r="I41" s="16"/>
      <c r="J41" s="17"/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s="8" customFormat="1" ht="27.75" customHeight="1" x14ac:dyDescent="0.25">
      <c r="A42" s="2"/>
      <c r="B42" s="9"/>
      <c r="C42" s="2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</sheetData>
  <autoFilter ref="A1:AS33" xr:uid="{00000000-0001-0000-0100-000000000000}"/>
  <conditionalFormatting sqref="A2:AS41">
    <cfRule type="expression" dxfId="12" priority="1">
      <formula>$A2=""</formula>
    </cfRule>
    <cfRule type="expression" dxfId="11" priority="11">
      <formula>$B2&lt;&gt;""</formula>
    </cfRule>
    <cfRule type="expression" dxfId="10" priority="13">
      <formula>MOD(ROW(),2)=0</formula>
    </cfRule>
  </conditionalFormatting>
  <conditionalFormatting sqref="G2:I41">
    <cfRule type="expression" dxfId="9" priority="2">
      <formula>D2="-"</formula>
    </cfRule>
    <cfRule type="expression" dxfId="8" priority="6">
      <formula>IF(AND(D2="O",ISBLANK(G2)),TRUE,FALSE)=TRUE</formula>
    </cfRule>
    <cfRule type="cellIs" dxfId="7" priority="7" operator="equal">
      <formula>"-"</formula>
    </cfRule>
    <cfRule type="expression" dxfId="6" priority="8">
      <formula>D2="FM"</formula>
    </cfRule>
    <cfRule type="cellIs" dxfId="5" priority="10" operator="equal">
      <formula>"+"</formula>
    </cfRule>
    <cfRule type="cellIs" dxfId="4" priority="12" operator="lessThan">
      <formula>60</formula>
    </cfRule>
  </conditionalFormatting>
  <conditionalFormatting sqref="I2:J41">
    <cfRule type="expression" dxfId="3" priority="4">
      <formula>$F2="BNT"</formula>
    </cfRule>
  </conditionalFormatting>
  <conditionalFormatting sqref="J2:J41">
    <cfRule type="expression" dxfId="2" priority="5">
      <formula>$F2="O"</formula>
    </cfRule>
    <cfRule type="expression" dxfId="1" priority="9">
      <formula>F2="FM"</formula>
    </cfRule>
  </conditionalFormatting>
  <conditionalFormatting sqref="L2:M41">
    <cfRule type="cellIs" dxfId="0" priority="3" operator="equal">
      <formula>"igen"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9E3A231EFA43D4FBDEB2A06670643D5" ma:contentTypeVersion="20" ma:contentTypeDescription="Új dokumentum létrehozása." ma:contentTypeScope="" ma:versionID="224fd92f4aac46daf8374d60e62d0473">
  <xsd:schema xmlns:xsd="http://www.w3.org/2001/XMLSchema" xmlns:xs="http://www.w3.org/2001/XMLSchema" xmlns:p="http://schemas.microsoft.com/office/2006/metadata/properties" xmlns:ns2="5172a1de-3a3b-46dc-9587-5498e6551300" xmlns:ns3="802d67f5-8fbc-4b18-b0ea-3e2cb00dfd89" targetNamespace="http://schemas.microsoft.com/office/2006/metadata/properties" ma:root="true" ma:fieldsID="8460feb2617d87aea3be331f03e4ab58" ns2:_="" ns3:_="">
    <xsd:import namespace="5172a1de-3a3b-46dc-9587-5498e6551300"/>
    <xsd:import namespace="802d67f5-8fbc-4b18-b0ea-3e2cb00df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id_x0151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2a1de-3a3b-46dc-9587-5498e6551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d_x0151_" ma:index="18" nillable="true" ma:displayName="idő" ma:format="DateOnly" ma:internalName="id_x0151_">
      <xsd:simpleType>
        <xsd:restriction base="dms:DateTim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Képcímkék" ma:readOnly="false" ma:fieldId="{5cf76f15-5ced-4ddc-b409-7134ff3c332f}" ma:taxonomyMulti="true" ma:sspId="423337ef-3cb6-4928-8805-5664d61705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d67f5-8fbc-4b18-b0ea-3e2cb00df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5b9d7e-7202-4e8b-b840-31eeafeb5089}" ma:internalName="TaxCatchAll" ma:showField="CatchAllData" ma:web="802d67f5-8fbc-4b18-b0ea-3e2cb00df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x0151_ xmlns="5172a1de-3a3b-46dc-9587-5498e6551300" xsi:nil="true"/>
    <lcf76f155ced4ddcb4097134ff3c332f xmlns="5172a1de-3a3b-46dc-9587-5498e6551300">
      <Terms xmlns="http://schemas.microsoft.com/office/infopath/2007/PartnerControls"/>
    </lcf76f155ced4ddcb4097134ff3c332f>
    <TaxCatchAll xmlns="802d67f5-8fbc-4b18-b0ea-3e2cb00dfd8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DC853D-FAD9-40C1-B50A-9CB0DB99BAE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2C366B2-BC11-4C5B-B654-F2ACB1DA1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72a1de-3a3b-46dc-9587-5498e6551300"/>
    <ds:schemaRef ds:uri="802d67f5-8fbc-4b18-b0ea-3e2cb00df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37A360-00B1-4C4F-9A6D-97B6540975F6}">
  <ds:schemaRefs>
    <ds:schemaRef ds:uri="http://schemas.microsoft.com/office/2006/metadata/properties"/>
    <ds:schemaRef ds:uri="http://schemas.microsoft.com/office/infopath/2007/PartnerControls"/>
    <ds:schemaRef ds:uri="5172a1de-3a3b-46dc-9587-5498e6551300"/>
    <ds:schemaRef ds:uri="802d67f5-8fbc-4b18-b0ea-3e2cb00dfd89"/>
  </ds:schemaRefs>
</ds:datastoreItem>
</file>

<file path=customXml/itemProps4.xml><?xml version="1.0" encoding="utf-8"?>
<ds:datastoreItem xmlns:ds="http://schemas.openxmlformats.org/officeDocument/2006/customXml" ds:itemID="{E8BFD9B6-ADAC-4F96-9659-83EE1C6912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14</vt:i4>
      </vt:variant>
    </vt:vector>
  </HeadingPairs>
  <TitlesOfParts>
    <vt:vector size="17" baseType="lpstr">
      <vt:lpstr>vizsgazók</vt:lpstr>
      <vt:lpstr>osztályozó</vt:lpstr>
      <vt:lpstr>osztályozó_oszlopkivalasztas</vt:lpstr>
      <vt:lpstr>Anyja_neve</vt:lpstr>
      <vt:lpstr>email</vt:lpstr>
      <vt:lpstr>iD</vt:lpstr>
      <vt:lpstr>Korábbi_vizsga_időpontja</vt:lpstr>
      <vt:lpstr>Korábbi_vizsga_törzslapszáma</vt:lpstr>
      <vt:lpstr>Név</vt:lpstr>
      <vt:lpstr>PKÖE</vt:lpstr>
      <vt:lpstr>szamvitel</vt:lpstr>
      <vt:lpstr>Szóbeli</vt:lpstr>
      <vt:lpstr>Születési_hely</vt:lpstr>
      <vt:lpstr>Születési_idő</vt:lpstr>
      <vt:lpstr>Születési_neve</vt:lpstr>
      <vt:lpstr>Telefon</vt:lpstr>
      <vt:lpstr>Törzslapszám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Endre</dc:creator>
  <cp:keywords/>
  <dc:description/>
  <cp:lastModifiedBy>Machnicz Endre</cp:lastModifiedBy>
  <cp:revision/>
  <cp:lastPrinted>2023-12-13T09:43:41Z</cp:lastPrinted>
  <dcterms:created xsi:type="dcterms:W3CDTF">2015-06-05T18:19:34Z</dcterms:created>
  <dcterms:modified xsi:type="dcterms:W3CDTF">2024-01-09T09:38:37Z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0x01010019E3A231EFA43D4FBDEB2A06670643D5</vt:lpwstr>
  </property>
  <property fmtid="{D5CDD505-2E9C-101B-9397-08002B2CF9AE}" pid="3" name="MediaServiceImageTags">
    <vt:lpwstr/>
  </property>
</Properties>
</file>